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5195" windowHeight="9210" activeTab="0"/>
  </bookViews>
  <sheets>
    <sheet name="Cover" sheetId="1" r:id="rId1"/>
    <sheet name="SOFA" sheetId="2" r:id="rId2"/>
    <sheet name="Balance Sheet" sheetId="3" r:id="rId3"/>
    <sheet name="Statement of Cash Flows" sheetId="4" r:id="rId4"/>
    <sheet name="Accounting polices" sheetId="5" r:id="rId5"/>
    <sheet name="SOFA Notes" sheetId="6" r:id="rId6"/>
    <sheet name="Balance Sheet Notes" sheetId="7" r:id="rId7"/>
    <sheet name="Cash flow notes" sheetId="8" r:id="rId8"/>
  </sheets>
  <definedNames>
    <definedName name="_xlnm.Print_Area" localSheetId="4">'Accounting polices'!$A$1:$H$264</definedName>
    <definedName name="_xlnm.Print_Area" localSheetId="7">'Cash flow notes'!$A$1:$H$51</definedName>
    <definedName name="_xlnm.Print_Area" localSheetId="3">'Statement of Cash Flows'!$A$1:$I$37</definedName>
  </definedNames>
  <calcPr fullCalcOnLoad="1"/>
</workbook>
</file>

<file path=xl/sharedStrings.xml><?xml version="1.0" encoding="utf-8"?>
<sst xmlns="http://schemas.openxmlformats.org/spreadsheetml/2006/main" count="852" uniqueCount="566">
  <si>
    <t xml:space="preserve">Shops </t>
  </si>
  <si>
    <t>Lottery</t>
  </si>
  <si>
    <t>Investment income</t>
  </si>
  <si>
    <t>Income from charitable activities</t>
  </si>
  <si>
    <t>Cost of generating funds</t>
  </si>
  <si>
    <t>Charitable services</t>
  </si>
  <si>
    <t>In patient care</t>
  </si>
  <si>
    <t>Daycare</t>
  </si>
  <si>
    <t>Community services</t>
  </si>
  <si>
    <t>Hospice at home</t>
  </si>
  <si>
    <t xml:space="preserve">Hospital services </t>
  </si>
  <si>
    <t>Governance costs</t>
  </si>
  <si>
    <t>Bereavement</t>
  </si>
  <si>
    <t>Education and research</t>
  </si>
  <si>
    <t>General</t>
  </si>
  <si>
    <t>Designated</t>
  </si>
  <si>
    <t>Total</t>
  </si>
  <si>
    <t>Investments</t>
  </si>
  <si>
    <t>Current assets</t>
  </si>
  <si>
    <t>Stock</t>
  </si>
  <si>
    <t>Debtors</t>
  </si>
  <si>
    <t>Cash at bank and in hand</t>
  </si>
  <si>
    <t>Net current assets</t>
  </si>
  <si>
    <t>Creditors: amounts falling due in greater than one year</t>
  </si>
  <si>
    <t>Total assets less current liabilities</t>
  </si>
  <si>
    <t>Donations</t>
  </si>
  <si>
    <t>Legacies</t>
  </si>
  <si>
    <t>Grants</t>
  </si>
  <si>
    <t>Note</t>
  </si>
  <si>
    <t>Income from sale of donated goods</t>
  </si>
  <si>
    <t>Commission income from sale of goods on an agency basis</t>
  </si>
  <si>
    <t>Donations within shops</t>
  </si>
  <si>
    <t>Gift aid income from sale of goods on an agency basis</t>
  </si>
  <si>
    <t>Total income from shops</t>
  </si>
  <si>
    <t>Costs of buying in goods</t>
  </si>
  <si>
    <t>Staff costs</t>
  </si>
  <si>
    <t>Net Profit arising from shops</t>
  </si>
  <si>
    <t>Income from lottery sales</t>
  </si>
  <si>
    <t>Prize money</t>
  </si>
  <si>
    <t>Other lottery costs</t>
  </si>
  <si>
    <t>Net Profit arising from lottery</t>
  </si>
  <si>
    <t>Rental income</t>
  </si>
  <si>
    <t>Bank interest</t>
  </si>
  <si>
    <t>Wages and salaries</t>
  </si>
  <si>
    <t>Net incoming resources</t>
  </si>
  <si>
    <t>Net incoming resources is stated after charging:</t>
  </si>
  <si>
    <t>Depreciation</t>
  </si>
  <si>
    <t>Operating lease rentals</t>
  </si>
  <si>
    <t>Analysis of support costs</t>
  </si>
  <si>
    <t>Cost of generating voluntary income</t>
  </si>
  <si>
    <t>Fundraising trading: costs of goods sold and other costs</t>
  </si>
  <si>
    <t>Investment management costs</t>
  </si>
  <si>
    <t>Management</t>
  </si>
  <si>
    <t>IT</t>
  </si>
  <si>
    <t>HR</t>
  </si>
  <si>
    <t>Payroll giving</t>
  </si>
  <si>
    <t>Standing orders and directs debits</t>
  </si>
  <si>
    <t>Charitable trusts</t>
  </si>
  <si>
    <t>Core funding grants</t>
  </si>
  <si>
    <t>Transfers between funds</t>
  </si>
  <si>
    <t>Gains on revaluation of freehold property</t>
  </si>
  <si>
    <t>Net movement in funds</t>
  </si>
  <si>
    <t>Total funds brought forward</t>
  </si>
  <si>
    <t>Total funds carried forward</t>
  </si>
  <si>
    <t>Current Year</t>
  </si>
  <si>
    <t>Prior Year</t>
  </si>
  <si>
    <t>£</t>
  </si>
  <si>
    <t>Fundraising events</t>
  </si>
  <si>
    <t>Tangible fixed assets</t>
  </si>
  <si>
    <t>Restricted funds</t>
  </si>
  <si>
    <t>Unrestricted funds</t>
  </si>
  <si>
    <t>Designated funds</t>
  </si>
  <si>
    <t>General funds</t>
  </si>
  <si>
    <t>Total funds</t>
  </si>
  <si>
    <t>Group</t>
  </si>
  <si>
    <t>Charity</t>
  </si>
  <si>
    <t>Cost or revaluation</t>
  </si>
  <si>
    <t>At start of year</t>
  </si>
  <si>
    <t>Additions</t>
  </si>
  <si>
    <t>Disposals</t>
  </si>
  <si>
    <t>Revaluation</t>
  </si>
  <si>
    <t>At end of year</t>
  </si>
  <si>
    <t>Charge for the year</t>
  </si>
  <si>
    <t>Eliminated on disposal</t>
  </si>
  <si>
    <t>Eliminated on revaluation</t>
  </si>
  <si>
    <t>Net book value at the end of the year</t>
  </si>
  <si>
    <t>Net book value at the start of the year</t>
  </si>
  <si>
    <t>Trade debtors</t>
  </si>
  <si>
    <t>Amount owed by group companies</t>
  </si>
  <si>
    <t>Taxation recoverable</t>
  </si>
  <si>
    <t>Other debtors</t>
  </si>
  <si>
    <t>Prepayments</t>
  </si>
  <si>
    <t>Accrued income</t>
  </si>
  <si>
    <t>Trade creditors</t>
  </si>
  <si>
    <t>Other creditors</t>
  </si>
  <si>
    <t xml:space="preserve">Accruals </t>
  </si>
  <si>
    <t>Deferred income</t>
  </si>
  <si>
    <t>Net assets by funds</t>
  </si>
  <si>
    <t>Creditors falling due in less than one year</t>
  </si>
  <si>
    <t>Creditors falling due in more than one year</t>
  </si>
  <si>
    <t>Expenditure</t>
  </si>
  <si>
    <t>Transfers</t>
  </si>
  <si>
    <t>Balance at end of the year</t>
  </si>
  <si>
    <t>Value of gifts in kind and donated services</t>
  </si>
  <si>
    <t>Property costs</t>
  </si>
  <si>
    <t>Other costs</t>
  </si>
  <si>
    <t>Finance</t>
  </si>
  <si>
    <t>Taxation</t>
  </si>
  <si>
    <t>Freehold property</t>
  </si>
  <si>
    <t>Fixtures and fittings</t>
  </si>
  <si>
    <t>Total government funding</t>
  </si>
  <si>
    <t>Direct Costs</t>
  </si>
  <si>
    <t>Total costs</t>
  </si>
  <si>
    <t>Charitable activities</t>
  </si>
  <si>
    <t>As start of the year</t>
  </si>
  <si>
    <t>At end of the year</t>
  </si>
  <si>
    <t>a)</t>
  </si>
  <si>
    <t>b)</t>
  </si>
  <si>
    <t>Unrealised Gains on Revaluation</t>
  </si>
  <si>
    <t>Cash held as part of the investment portfolio</t>
  </si>
  <si>
    <t>Total charity</t>
  </si>
  <si>
    <t>All investments are held in the UK</t>
  </si>
  <si>
    <t xml:space="preserve">c) </t>
  </si>
  <si>
    <t>Turnover</t>
  </si>
  <si>
    <t>Interest receivable</t>
  </si>
  <si>
    <t>Net trading profit</t>
  </si>
  <si>
    <t>Gift aid donated to hospice</t>
  </si>
  <si>
    <t>Assets</t>
  </si>
  <si>
    <t>Liabilities</t>
  </si>
  <si>
    <t xml:space="preserve">Capital </t>
  </si>
  <si>
    <t>Reserves</t>
  </si>
  <si>
    <t>Represented by:</t>
  </si>
  <si>
    <t xml:space="preserve"> - for audit services</t>
  </si>
  <si>
    <t>Actual Number</t>
  </si>
  <si>
    <t>Support services</t>
  </si>
  <si>
    <t>Fundraising services</t>
  </si>
  <si>
    <t>Reference</t>
  </si>
  <si>
    <t>121-136</t>
  </si>
  <si>
    <t>137-139</t>
  </si>
  <si>
    <t>140-142</t>
  </si>
  <si>
    <t>143-146</t>
  </si>
  <si>
    <t>180-184</t>
  </si>
  <si>
    <t>185-186</t>
  </si>
  <si>
    <t>178-187</t>
  </si>
  <si>
    <t>188-209</t>
  </si>
  <si>
    <t>217-218</t>
  </si>
  <si>
    <t xml:space="preserve">Event 1 </t>
  </si>
  <si>
    <t>Event 2</t>
  </si>
  <si>
    <t>Event 3</t>
  </si>
  <si>
    <t>Income</t>
  </si>
  <si>
    <t>Notes</t>
  </si>
  <si>
    <t>Notes to the accounts</t>
  </si>
  <si>
    <t>Related party transactions</t>
  </si>
  <si>
    <t>SORP</t>
  </si>
  <si>
    <t>Due in 1-2 years</t>
  </si>
  <si>
    <t>Due in 2-5 years</t>
  </si>
  <si>
    <t>Due in greater than 5 years</t>
  </si>
  <si>
    <t>PCT Contract</t>
  </si>
  <si>
    <t>Education Fund</t>
  </si>
  <si>
    <t>Research Fund</t>
  </si>
  <si>
    <t>£90,000-£99,999</t>
  </si>
  <si>
    <t>£60,000-£69,999</t>
  </si>
  <si>
    <t>£70,000-£79,999</t>
  </si>
  <si>
    <t>£80,000-£89,999</t>
  </si>
  <si>
    <t>£100,000-£109,999</t>
  </si>
  <si>
    <t>Profit / (loss) on sale of fixed assets</t>
  </si>
  <si>
    <t>All amounts relate to continuing activities of the group.</t>
  </si>
  <si>
    <t>MR SMITH (signed and dated)</t>
  </si>
  <si>
    <t>Lymphoedema</t>
  </si>
  <si>
    <t>Creditors: amounts falling due within one year</t>
  </si>
  <si>
    <t>Approved by the trustees on [DATE] and signed and authorised for issue on their behalf by:</t>
  </si>
  <si>
    <t>MR JONES (signed and dated)</t>
  </si>
  <si>
    <t>The notes to the accounts are shown on pages X</t>
  </si>
  <si>
    <t>In memoriam</t>
  </si>
  <si>
    <t xml:space="preserve">Income from sale of bought in goods </t>
  </si>
  <si>
    <t>Total expenditure from shops</t>
  </si>
  <si>
    <t>Other interest</t>
  </si>
  <si>
    <t>Government funding</t>
  </si>
  <si>
    <t>Direct charitable services</t>
  </si>
  <si>
    <t>Auditors remuneration:</t>
  </si>
  <si>
    <t>Motor Vehicles</t>
  </si>
  <si>
    <t>Balance at the stated of the year</t>
  </si>
  <si>
    <t>Daycare fund</t>
  </si>
  <si>
    <t>Other activity grants - grant A</t>
  </si>
  <si>
    <t>Other activity grants - grant B</t>
  </si>
  <si>
    <t>Other activity grants - grant C</t>
  </si>
  <si>
    <t>The historical cost of the investments is £X (prior year: £x)</t>
  </si>
  <si>
    <t>Current Year Total</t>
  </si>
  <si>
    <t>Shops costs (note 5)</t>
  </si>
  <si>
    <t>Lottery costs (note 6)</t>
  </si>
  <si>
    <t>Events costs (note 7)</t>
  </si>
  <si>
    <t>Repairs fund</t>
  </si>
  <si>
    <t>Hospice at home fund</t>
  </si>
  <si>
    <t>In the prior year the trustees created a designated fund for the expansion of the hospice at home service. This fund was fully expended during the year.</t>
  </si>
  <si>
    <t>Restricted</t>
  </si>
  <si>
    <t>Total unrestricted</t>
  </si>
  <si>
    <t>Support costs (note 11)</t>
  </si>
  <si>
    <t>Consolidated statement of financial activities (incorporating a consolidated income and expenditure account) for the year ended XXXX</t>
  </si>
  <si>
    <t>Total Funds</t>
  </si>
  <si>
    <t>Income:</t>
  </si>
  <si>
    <t>Donations and legacies:</t>
  </si>
  <si>
    <t>Income from other trading activities:</t>
  </si>
  <si>
    <t>Total income</t>
  </si>
  <si>
    <t>Total expenditure</t>
  </si>
  <si>
    <t>Expenditure on charitable activities</t>
  </si>
  <si>
    <t>Costs of raising funds</t>
  </si>
  <si>
    <t xml:space="preserve">            Unrestricted Funds</t>
  </si>
  <si>
    <t xml:space="preserve">                       Prior year           </t>
  </si>
  <si>
    <t>Cost of raising voluntary income</t>
  </si>
  <si>
    <t>Net gains/(losses) on investments</t>
  </si>
  <si>
    <t>Reconciliation of funds:</t>
  </si>
  <si>
    <t>The Statement of Financial Activities includes all gains and losses recognised in the year.             The notes to the accounts are shown on pages X.</t>
  </si>
  <si>
    <t>Other recognised gains and losses</t>
  </si>
  <si>
    <t>Net income/(expenditure) for the year</t>
  </si>
  <si>
    <t>The funds of the charity:</t>
  </si>
  <si>
    <t>Tangible assets</t>
  </si>
  <si>
    <t>Total net assets</t>
  </si>
  <si>
    <t>Restricted income funds</t>
  </si>
  <si>
    <t>Revaluation reserve</t>
  </si>
  <si>
    <t>Accounting policies</t>
  </si>
  <si>
    <t>The principal accounting policies adopted, judgements and key sources of estimation</t>
  </si>
  <si>
    <t>uncertainty in the preparation of the financial statements are as follows:</t>
  </si>
  <si>
    <t>a) Basis of preparation</t>
  </si>
  <si>
    <t>The financial statements have been prepared in accordance with Accounting and Reporting</t>
  </si>
  <si>
    <t>by Charities: Statement of Recommended Practice applicable to charities preparing their</t>
  </si>
  <si>
    <t>accounts in accordance with the Financial Reporting Standard applicable in the UK and</t>
  </si>
  <si>
    <t>Republic of Ireland (FRS 102) (effective 1 January 2015) - (Charities SORP (FRS 102)), the</t>
  </si>
  <si>
    <t>Financial Reporting Standard applicable in the UK and Republic of Ireland (FRS 102) and the</t>
  </si>
  <si>
    <t>Companies Act 2006.</t>
  </si>
  <si>
    <t>liabilities are initially recognised at historical cost or transaction value unless otherwise stated</t>
  </si>
  <si>
    <t>in the relevant accounting policy note(s).</t>
  </si>
  <si>
    <t>The financial statements consolidate the results of the charity and its wholly owned</t>
  </si>
  <si>
    <t>has taken advantage of the exemption afforded by section 408 of the Companies Act 2006.</t>
  </si>
  <si>
    <t>Income is recognised when the charity has entitlement to the funds, any performance</t>
  </si>
  <si>
    <t>conditions attached to the item(s) of income have been met, it is probable that the income will</t>
  </si>
  <si>
    <t>be received and the amount can be measured reliably.</t>
  </si>
  <si>
    <t>attached to the grants have been met, it is probable that the income will be received and the</t>
  </si>
  <si>
    <t>amount can be measured reliably and is not deferred.</t>
  </si>
  <si>
    <t>probable when the amount can be measured reliably and the charity has been notified of the</t>
  </si>
  <si>
    <t>a going concern. The most significant areas of adjustment and key assumptions that affect items in</t>
  </si>
  <si>
    <t>The trustees consider that there are no material uncertainties about XXXXX’s ability to continue as</t>
  </si>
  <si>
    <t>the accounts are to do with estimating  XYZ in these accounts. With regard the following year, the</t>
  </si>
  <si>
    <t xml:space="preserve">the most significant areas of uncertainty of XXXXX are the level of donation income which needs to </t>
  </si>
  <si>
    <t>be raised each and every year and is covered in more detail in the performance and risk sections</t>
  </si>
  <si>
    <t>of the trustees’ annual report for more information.</t>
  </si>
  <si>
    <t>subsidiary Hospice Trading Ltd on a line-by-line basis. A separate Statement of Financial Activities</t>
  </si>
  <si>
    <t xml:space="preserve">Income received in advance for a future fundraising event or for a grant received relating to the </t>
  </si>
  <si>
    <t>Unrestricted funds are available to spend on activities that further any of the purposes of</t>
  </si>
  <si>
    <t>charity. Designated funds are unrestricted funds of the charity which the trustees have</t>
  </si>
  <si>
    <t>and Income and Expenditure Account for the charity has not been presented because the charity</t>
  </si>
  <si>
    <t xml:space="preserve">the charity is aware that probate has been granted, the estate has been finalised and notification </t>
  </si>
  <si>
    <t>distribution is received from the estate. Receipt of a legacy, in whole or in part, is only considered</t>
  </si>
  <si>
    <t xml:space="preserve">has been made by the executor(s) to the charity that a distribution will be made, or when a </t>
  </si>
  <si>
    <t>For legacies, entitlement is taken on a case by case basis as the earlier of the date on which:</t>
  </si>
  <si>
    <t xml:space="preserve">executor’s intention to make a distribution. If the legacy is in the form of an asset other than cash or </t>
  </si>
  <si>
    <t>following year are deferred until the criteria for income recognition are met.</t>
  </si>
  <si>
    <t>Dividends are recognised once the dividend has been declared and notification has been received of</t>
  </si>
  <si>
    <t>the dividend due. This is normally upon notification by our investment advisor of the dividend yield</t>
  </si>
  <si>
    <t>Interest on deposit funds held is included when receivable and the amount can be measured reliably</t>
  </si>
  <si>
    <t>by the charity which is normally upon notification of the interest paid or payable by the bank.</t>
  </si>
  <si>
    <t xml:space="preserve">Where income has related expenditure (as with fundraising or contract income), the income </t>
  </si>
  <si>
    <t xml:space="preserve">an asset listed on a recognised stock exchange, recognition is subject to the value of the asset being </t>
  </si>
  <si>
    <t>and related expenditure are reported gross in the Statement of Financial Activities.</t>
  </si>
  <si>
    <t>grants, are recognised when the charity has entitlement to the funds, any performance conditions</t>
  </si>
  <si>
    <t xml:space="preserve">Income from NHS contracts, government and other grants, whether ‘capital’ grants or ‘revenue’ </t>
  </si>
  <si>
    <t xml:space="preserve">Donated professional services and facilities are included in income at the estimated value of the gift to </t>
  </si>
  <si>
    <t>to the charity when received, based on the amount that the charity would have been prepared to pay</t>
  </si>
  <si>
    <t xml:space="preserve">for these services or facilities had it been required to purchase them, with a corresponding entry in </t>
  </si>
  <si>
    <t>Expenditure is recognised once there is a legal or constructive obligation to make a payment to a third</t>
  </si>
  <si>
    <t xml:space="preserve"> party, it is probable that settlement will be required and the amount of the obligation can be measured</t>
  </si>
  <si>
    <t>reliably. All expenditure is accounted for on an accruals basis under the following headings:</t>
  </si>
  <si>
    <t xml:space="preserve">Costs of raising funds comprises fundraising costs incurred in seeking donations, grants and legacies; </t>
  </si>
  <si>
    <t>income at the value to the charity with the other entry being capitalised in fixed assets.</t>
  </si>
  <si>
    <t>Expenditure on charitable activities includes the costs of providing specialist palliative care and support,</t>
  </si>
  <si>
    <t>community services, research and other educational activities undertaken to further the purposes of the</t>
  </si>
  <si>
    <t>Support costs comprise those costs which are incurred directly in support of expenditure on the objects</t>
  </si>
  <si>
    <t>charity and their associated support costs.</t>
  </si>
  <si>
    <t xml:space="preserve">of the charity and include governance cost, finance, and office costs. Governance costs are those costs </t>
  </si>
  <si>
    <t>Irrecoverable VAT is charged as a cost against the activity for which the expenditure was incurred.</t>
  </si>
  <si>
    <t>incurred in connection with the compliance with constitutional and statutory requirements of the charity.</t>
  </si>
  <si>
    <t>The value of the services provided by volunteers is not incorporated into these financial statements.</t>
  </si>
  <si>
    <t>All assets costing more than £1,500 are capitalised at their historical cost when purchased, except</t>
  </si>
  <si>
    <t>Trustees report.</t>
  </si>
  <si>
    <t>for computer equipment where all items with a value of £100 or more are capitalised.</t>
  </si>
  <si>
    <t>Fixture &amp; fittings</t>
  </si>
  <si>
    <t>Motor vehicles</t>
  </si>
  <si>
    <t>10%</t>
  </si>
  <si>
    <t>33.33 %</t>
  </si>
  <si>
    <t>25%</t>
  </si>
  <si>
    <t>2%</t>
  </si>
  <si>
    <t>Investments are a form of basic financial instrument and are initially recognised at their transaction</t>
  </si>
  <si>
    <t>value and subsequently measured at their fair value as at the balance sheet date using the closing</t>
  </si>
  <si>
    <t>The main form of financial risk faced by the charity is that of volatility in equity markets and</t>
  </si>
  <si>
    <t>investment markets due to wider economic conditions, the attitude of investors to investment risk,</t>
  </si>
  <si>
    <t>and changes in sentiment concerning equities and within particular sectors or sub sectors.</t>
  </si>
  <si>
    <t>The charity does not acquire put options, derivatives or other complex financial instruments.</t>
  </si>
  <si>
    <t>and disposals throughout the year.</t>
  </si>
  <si>
    <t>All gains and losses are taken to the Statement of Financial Activities as they arise. Realised gains</t>
  </si>
  <si>
    <t>and losses on investments are calculated as the difference between sales proceeds and their opening</t>
  </si>
  <si>
    <t>carrying value or their purchase value if acquired subsequent to the first day of the financial year.</t>
  </si>
  <si>
    <t>Unrealised gains and losses are calculated as the difference between the fair value at the year end</t>
  </si>
  <si>
    <t>and their carrying value. Realised and unrealised investment gains and losses are combined in the</t>
  </si>
  <si>
    <t>Statement of Financial Activities.</t>
  </si>
  <si>
    <t>realisable value of the asset when appropriate.</t>
  </si>
  <si>
    <t xml:space="preserve">quoted market price, except for the shares in the trading subsidiary which are carried at cost. </t>
  </si>
  <si>
    <t xml:space="preserve">distributed because the Trustees consider it impractical to be able to assess the amount of </t>
  </si>
  <si>
    <t xml:space="preserve">for resale or distribution are not included in the financial statements until they are sold or </t>
  </si>
  <si>
    <t>donated stocks as there are no systems in place which record these items until they are sold</t>
  </si>
  <si>
    <t>Trade and other debtors are recognised at the settlement amount due after any trade discount</t>
  </si>
  <si>
    <t>offered. Prepayments are valued at the amount prepaid net of any trade discounts due.</t>
  </si>
  <si>
    <t>Accrued income and tax recoverable is included at the best estimate of the amounts receivable</t>
  </si>
  <si>
    <t>at the balance sheet date.</t>
  </si>
  <si>
    <t>Cash at bank and cash in hand includes cash and short term highly liquid investments with a</t>
  </si>
  <si>
    <t>short maturity of three months or less from the date of acquisition or opening of the deposit or</t>
  </si>
  <si>
    <t>similar account.</t>
  </si>
  <si>
    <t>Stock of retail goods is included at the lower of cost or net realisable value. Donated items of stock</t>
  </si>
  <si>
    <t>and undertaking a stock take would incur undue cost for the charity which far outweigh the benefits.</t>
  </si>
  <si>
    <t>The money purchase plan is managed by XXXXXXXXX and the plan invests the contributions made</t>
  </si>
  <si>
    <t>charity being wound up, the liability in respect of the guarantee is limited to £5 per member of</t>
  </si>
  <si>
    <t>the charity.</t>
  </si>
  <si>
    <t>The charity is a company limited by guarantee and has no share capital. In the event of the</t>
  </si>
  <si>
    <t>Operating leases are recognised over the period of which the lease falls due.</t>
  </si>
  <si>
    <t>Benefits received and receivable as an incentive to sign an operating lease are recognised on a</t>
  </si>
  <si>
    <t>straight line basis over the period of the lease.</t>
  </si>
  <si>
    <t>Equity investment in subsidiary</t>
  </si>
  <si>
    <t>Investment property</t>
  </si>
  <si>
    <t>policies required by FRS 102 and the Charities SORP FRS 102 the restatement of comparative</t>
  </si>
  <si>
    <t>items was required.</t>
  </si>
  <si>
    <t>No restatements were required.</t>
  </si>
  <si>
    <t>b) Reconciliation with previous Generally Accepted Accounting Practice</t>
  </si>
  <si>
    <t xml:space="preserve">decided at their discretion to set aside to use for a specific purpose. The aim and purpose of </t>
  </si>
  <si>
    <t>each designated fund is set out in the notes to the financial statements. Restricted funds are</t>
  </si>
  <si>
    <t>Investment income, gains and losses are allocated to the appropriate fund.</t>
  </si>
  <si>
    <t xml:space="preserve">Donations, grants and gifts are recognised when receivable. In the event that a donation is </t>
  </si>
  <si>
    <t xml:space="preserve">subject to fulfilling performance conditions before the charity is entitled to the funds, the income  </t>
  </si>
  <si>
    <t xml:space="preserve">period. Income from Gift Aid tax reclaims is recognised for any donations with relevant Gift Aid </t>
  </si>
  <si>
    <t xml:space="preserve">certificates recognised in income for the year. Any amounts of Gift Aid not received by the year end </t>
  </si>
  <si>
    <t>are accounted for in income and accrued income in debtors.</t>
  </si>
  <si>
    <t>The company is considered to pass the tests set out in Paragraph 1 Schedule 6 of the Finance Act</t>
  </si>
  <si>
    <t>2010 and therefore it meets the definition of a charitable company for UK corporation tax purposes.</t>
  </si>
  <si>
    <t>Accordingly, the company is potentially exempt from taxation in respect of income or capital gains</t>
  </si>
  <si>
    <t>received within categories covered by Chapter 3 Part 11 of the Corporation Tax Act 2010 or Section</t>
  </si>
  <si>
    <t>256 of the Taxation of Chargeable Gains Act 1992, to the extent that such income or gains are</t>
  </si>
  <si>
    <t>applied exclusively to charitable purposes.</t>
  </si>
  <si>
    <t>Monetary assets and liabilities denominated in foreign currencies are translated into sterling at rates</t>
  </si>
  <si>
    <t>of exchange ruling at the balance sheet date.</t>
  </si>
  <si>
    <t>Transactions in foreign currencies are translated into sterling at the rate ruling on the date of the</t>
  </si>
  <si>
    <t>transaction.</t>
  </si>
  <si>
    <t>Exchange gains and losses are recognised in the Statement of Financial Activities.</t>
  </si>
  <si>
    <t>The fair value of land and buildings is usually determined from market-based evidence by appraisal</t>
  </si>
  <si>
    <t>The charity has adopted the revaluation model to revalue items of freehold property whose fair value</t>
  </si>
  <si>
    <t xml:space="preserve"> can be measured reliably. The revaluations shall be made with sufficient regularity to ensure that</t>
  </si>
  <si>
    <t xml:space="preserve"> the carrying amount does not differ materially from that which would be determined using fair value</t>
  </si>
  <si>
    <t xml:space="preserve"> at the end of the reporting period.</t>
  </si>
  <si>
    <t xml:space="preserve">that is normally undertaken by professionally qualified valuers. </t>
  </si>
  <si>
    <t>Revaluation gains and losses are recognised in the Statement of Financial Activities and added</t>
  </si>
  <si>
    <t>c) Legal status of the Charity</t>
  </si>
  <si>
    <t>d) Going concern</t>
  </si>
  <si>
    <t>e) Group financial statements</t>
  </si>
  <si>
    <t>f) Fund accounting</t>
  </si>
  <si>
    <t>g) Income</t>
  </si>
  <si>
    <t>h) Donated goods and services</t>
  </si>
  <si>
    <t>i) Expenditure and irrecoverable VAT</t>
  </si>
  <si>
    <t>j) Volunteers</t>
  </si>
  <si>
    <t>k) Fixed assets</t>
  </si>
  <si>
    <t>l) Revaluation of tangible fixed assets</t>
  </si>
  <si>
    <t>m) Investments</t>
  </si>
  <si>
    <t>n) Stock</t>
  </si>
  <si>
    <t>o) Debtors</t>
  </si>
  <si>
    <t>p) Cash at bank and in hand</t>
  </si>
  <si>
    <t xml:space="preserve">q) Creditors </t>
  </si>
  <si>
    <t>r) Concessionary loan</t>
  </si>
  <si>
    <t>s) Financial instruments</t>
  </si>
  <si>
    <t>t) Pensions</t>
  </si>
  <si>
    <t>u) Operating leases</t>
  </si>
  <si>
    <t>v) Taxation</t>
  </si>
  <si>
    <t>w) Foreign currencies</t>
  </si>
  <si>
    <t>conditions associated with the donated item have been met, the receipt of economic benefit from the</t>
  </si>
  <si>
    <t>able to be reliably measured and title to the asset has passed to the charity. Where legacies have</t>
  </si>
  <si>
    <t>recognition have not been met, then the legacy is a treated as a contingent asset and disclosed if</t>
  </si>
  <si>
    <t>in the year. Trading income is recognised on point of sale for both donated and purchased goods.</t>
  </si>
  <si>
    <t xml:space="preserve">Sponsorship from events, fundraising and events registration fees are recognised in income when the </t>
  </si>
  <si>
    <t xml:space="preserve">event takes place. Lottery income is accounted for in respect of those draws that have taken place </t>
  </si>
  <si>
    <t xml:space="preserve">investment management fees; costs of fundraising activities including the costs of goods sold, shop </t>
  </si>
  <si>
    <t>the costs of disseminating information of support of the charitable activities.</t>
  </si>
  <si>
    <t>costs, commercial trading and their associated support costs. Fundraising costs do not include</t>
  </si>
  <si>
    <t>Creditors are recognised where the charity has a present obligation resulting from a past event that</t>
  </si>
  <si>
    <t xml:space="preserve"> will probably result in the transfer of funds to a third party and the amount due to settle the obligation</t>
  </si>
  <si>
    <t>can be measured or estimated reliably. Creditors are normally recognised at their settlement amount</t>
  </si>
  <si>
    <t>after allowing for any trade discounts due.</t>
  </si>
  <si>
    <t>The charity has taken advantage of section 34 of FRS102 to recognise the loan to its trading subsidiary</t>
  </si>
  <si>
    <t xml:space="preserve"> as a concessionary loan as the subsidiary and the charity form a public benefit entity group. As such</t>
  </si>
  <si>
    <t xml:space="preserve"> the charity initially recognises and measured the loan at the amount paid, with the carrying amount</t>
  </si>
  <si>
    <t>adjusted in subsequent years to reflect repayments and any accrued interest and adjusted if</t>
  </si>
  <si>
    <t>necessary for any impairment.</t>
  </si>
  <si>
    <t>The charity only has financial assets and financial liabilities of a kind that qualify as basic financial</t>
  </si>
  <si>
    <t xml:space="preserve"> instruments. Basic financial instruments are initially recognised at transaction value and subsequently</t>
  </si>
  <si>
    <t>measured at their settlement value with the exception of bank loans which are subsequently measured</t>
  </si>
  <si>
    <t>at amortised cost using the effective interest method.</t>
  </si>
  <si>
    <t>Employees of the charity are entitled to join a defined contribution ‘money purchase’ scheme. The</t>
  </si>
  <si>
    <t>charity contribution is restricted to the contributions disclosed in note x. There were no outstanding</t>
  </si>
  <si>
    <t>contributions at the year end. The costs of the defined contribution scheme are included with the</t>
  </si>
  <si>
    <t>associated staff costs and allocated therefore to raising funds, charitable activities, support and</t>
  </si>
  <si>
    <t>governance costs and charged to the unrestricted funds of the charity.</t>
  </si>
  <si>
    <t>by the employee and employer in an investment fund to build up over the term of the plan. The pension</t>
  </si>
  <si>
    <t xml:space="preserve">fund is then converted into a pension upon the employee’s normal retirement age which is defined as </t>
  </si>
  <si>
    <t xml:space="preserve">when they are eligible for a state pension. The total expense ratio of the plan is 2.5% and this is </t>
  </si>
  <si>
    <t>deducted from the investment fund annually. The charity has no liability beyond making its</t>
  </si>
  <si>
    <t>contributions and paying across the deductions for the employee’s contributions.</t>
  </si>
  <si>
    <t>of the investment portfolio. Income tax recoverable in relation to investment income is recognised</t>
  </si>
  <si>
    <t>at the time the investment income is receivable</t>
  </si>
  <si>
    <t>The trustees have transferred £50,000 to create a fund for repairs to the property which are expected in the next financial year.</t>
  </si>
  <si>
    <t>Taxation and social security</t>
  </si>
  <si>
    <t xml:space="preserve">The charity is owed £175,000 by the subsidiary, which has been treated as a concessionary loan and is carried at cost. </t>
  </si>
  <si>
    <t>Profit on ordinary activities before interest</t>
  </si>
  <si>
    <t>The property was valued at the year end by J Brown &amp; co, chartered surveyors, at £2,500,000 at its open market value. It was previously valued at by the Trustees at their estimation of open market value at the previous year end</t>
  </si>
  <si>
    <t>Deferred income reconciliation</t>
  </si>
  <si>
    <t>Balance brought forward</t>
  </si>
  <si>
    <t>Amount released to the Statement of Financial Activities</t>
  </si>
  <si>
    <t>Balance carried forward</t>
  </si>
  <si>
    <t>Amount deferred in the year</t>
  </si>
  <si>
    <t>Concessionary loan:</t>
  </si>
  <si>
    <t xml:space="preserve">Depreciation is provided to write off the cost or revaluated amount, less an estimated residual value, </t>
  </si>
  <si>
    <t>Contingent assets – legacy income</t>
  </si>
  <si>
    <t>Designated funds:</t>
  </si>
  <si>
    <t>The hospice owns a subsidiary, Hospice Trading Limited (company number xxxxx), whose main purpose is to sell goods to raise funds for the charity and pays all of its profits to the charity under the gift aid scheme. The charity holds 2 shares of £1 each in its wholly owned trading subsidiary company Hospice Trading Ltd which is incorporated in the United Kingdom. These are the only shares allotted, called up and fully paid. The activities and results of this company is summarised as follows:</t>
  </si>
  <si>
    <t>Profit for the financial year being the Retained profit for the year</t>
  </si>
  <si>
    <t>Total designated funds</t>
  </si>
  <si>
    <t>Expenditure and gains</t>
  </si>
  <si>
    <t>General fund</t>
  </si>
  <si>
    <t>Total unrestricted funds</t>
  </si>
  <si>
    <t>The revaluation reserve reflects the total revaluation of the freehold property</t>
  </si>
  <si>
    <t>The original cost was £1,800,000, and had the property not been revalued the accumulated depreciation would have been £72,000 and the net book value £1,728,000</t>
  </si>
  <si>
    <t xml:space="preserve">because the executors are waiting information on any claims to be made on these estates. Therefore no </t>
  </si>
  <si>
    <t xml:space="preserve">As at 31 March 2016 the charity had been notified of residuary legacies where the value of these estates was </t>
  </si>
  <si>
    <t>amount has been accrued in respect of these legacies which are estimated to be in excess of £500,000.</t>
  </si>
  <si>
    <t>uncertain as the executors had not yet compiled the estate accounts as the date of signing these accounts</t>
  </si>
  <si>
    <t>A restricted grant of £50,000 was received during the year in order to expand the daycare service.</t>
  </si>
  <si>
    <t>PCT contract is restricted to palliative care services in our XXX location only.</t>
  </si>
  <si>
    <t>Cash flows from investing activities:</t>
  </si>
  <si>
    <t>Cash flows from financing activities:</t>
  </si>
  <si>
    <t xml:space="preserve">Dividends, interest and rents from investments </t>
  </si>
  <si>
    <t xml:space="preserve">Proceeds from the sale of property, plant and equipment </t>
  </si>
  <si>
    <t xml:space="preserve">Purchase of property, plant and equipment </t>
  </si>
  <si>
    <t xml:space="preserve">Proceeds from sale of investments </t>
  </si>
  <si>
    <t xml:space="preserve">Purchase of investments </t>
  </si>
  <si>
    <t xml:space="preserve">Repayments of borrowing </t>
  </si>
  <si>
    <t>Cash inflows from new borrowing</t>
  </si>
  <si>
    <t xml:space="preserve">Receipt of endowment </t>
  </si>
  <si>
    <t>Cash flows from operating activities:</t>
  </si>
  <si>
    <t>Net cash provided by/(used in) operating activities</t>
  </si>
  <si>
    <t xml:space="preserve">Net cash provided by/(used in) investing activities </t>
  </si>
  <si>
    <t xml:space="preserve">Net cash provided by/(used in) financing activities </t>
  </si>
  <si>
    <t xml:space="preserve">Change in cash and cash equivalents in the reporting period </t>
  </si>
  <si>
    <t xml:space="preserve">Cash and cash equivalents at the beginning of the reporting period </t>
  </si>
  <si>
    <t xml:space="preserve">Change in cash and cash equivalents due to exchange rate movements </t>
  </si>
  <si>
    <t>Cash and cash equivalents at the end of the reporting period</t>
  </si>
  <si>
    <t>Reconciliation of net income/(expenditure) to net cash flow from operating activities</t>
  </si>
  <si>
    <t>Adjustments for:</t>
  </si>
  <si>
    <t xml:space="preserve"> </t>
  </si>
  <si>
    <t>Net income/(expenditure) for the reporting period (as per the statement of financial activities)</t>
  </si>
  <si>
    <t xml:space="preserve">(Gains)/losses on investments </t>
  </si>
  <si>
    <t xml:space="preserve">Loss/(profit) on the sale of fixed assets </t>
  </si>
  <si>
    <t xml:space="preserve">(Increase)/decrease in stocks </t>
  </si>
  <si>
    <t xml:space="preserve">(Increase)/decrease in debtors </t>
  </si>
  <si>
    <t xml:space="preserve">Increase/(decrease) in creditors </t>
  </si>
  <si>
    <t xml:space="preserve">Cash in hand </t>
  </si>
  <si>
    <t xml:space="preserve">Notice deposits (less than 3 months) </t>
  </si>
  <si>
    <t xml:space="preserve">Overdraft facility repayable on demand </t>
  </si>
  <si>
    <t xml:space="preserve">Total cash and cash equivalents </t>
  </si>
  <si>
    <t>Analysis of cash and cash equivalents</t>
  </si>
  <si>
    <t xml:space="preserve">Depreciation charges </t>
  </si>
  <si>
    <t>Interest payable on concessionary loan to hospice</t>
  </si>
  <si>
    <t>General donations</t>
  </si>
  <si>
    <t>The income from legacies was £200,000 (2015: £300,000) of which £150,000 was unrestricted</t>
  </si>
  <si>
    <t xml:space="preserve"> Mr D Daycare to fund expansion of the daycare services.</t>
  </si>
  <si>
    <t>All shop income in both the current and previous year relate to unrestricted funds.</t>
  </si>
  <si>
    <t>All donations in both the current and previous year relate to unrestricted funds.</t>
  </si>
  <si>
    <t>All lottery income in both the current and previous year relate to unrestricted funds.</t>
  </si>
  <si>
    <t>All fundraising event income in both the current and previous year relate to unrestricted funds.</t>
  </si>
  <si>
    <t>Equities</t>
  </si>
  <si>
    <t>Dividends- equities</t>
  </si>
  <si>
    <t>Interest - fixed interest securities</t>
  </si>
  <si>
    <t>All investment income in both the current and previous year relate to unrestricted funds.</t>
  </si>
  <si>
    <t>All income from charitable activities in both the current and previous year relate to unrestricted funds.</t>
  </si>
  <si>
    <t>Net income</t>
  </si>
  <si>
    <t>Current year</t>
  </si>
  <si>
    <t>Prior year</t>
  </si>
  <si>
    <t>Net expenditure</t>
  </si>
  <si>
    <t xml:space="preserve">Current Year Government Funding </t>
  </si>
  <si>
    <t xml:space="preserve">Other current year funding </t>
  </si>
  <si>
    <t>Number of shops (optional)</t>
  </si>
  <si>
    <t>Analysis of expenditure</t>
  </si>
  <si>
    <t>Raising funds</t>
  </si>
  <si>
    <t xml:space="preserve">Basis of </t>
  </si>
  <si>
    <t>apportionment</t>
  </si>
  <si>
    <t>Allocated on time</t>
  </si>
  <si>
    <t>Allocated on floor space</t>
  </si>
  <si>
    <t xml:space="preserve"> - for accountancy services</t>
  </si>
  <si>
    <t>Analysis of staff costs and key management personnel</t>
  </si>
  <si>
    <t>Social security costs</t>
  </si>
  <si>
    <t>Pension costs</t>
  </si>
  <si>
    <t>Full time equivalent (optional)</t>
  </si>
  <si>
    <t>The number of employees whose total employee benefits excluding pension contributions earning over £60,000, classified within bands of £10,000 is as follows:</t>
  </si>
  <si>
    <t>Fixed interest securities</t>
  </si>
  <si>
    <t>A restricted grant was received in the previous year to enable the hospice to begin an education programme within nursing homes; and a research grant to help fund initial study into dying at home.</t>
  </si>
  <si>
    <t>The company is a registered charity and as such is exempt from taxation on its income and gains falling with section 505 of the Taxes Act 1988 or section 252 of the Taxation of Chargeable Gains Act 1992 to the extent that these are applied for charitable purposes.</t>
  </si>
  <si>
    <t>Financial performance of the Hospice</t>
  </si>
  <si>
    <t xml:space="preserve">Income </t>
  </si>
  <si>
    <t>The consolidated statement of financial activities includes the results of the Hospice's wholly owned trading subsidiary Hospice Trading Limited. The summary performance of the Hospice along is as follows:</t>
  </si>
  <si>
    <t>OPTIONAL SUB TOTAL                     Net income for the year before gains and losses on investments OR Net income from operational activities for the year</t>
  </si>
  <si>
    <t xml:space="preserve">is deferred and not recognised until it is probable that those conditions will be fulfilled in the reporting </t>
  </si>
  <si>
    <t>Donated services or facilities are recognised when the charity has control over the item, any</t>
  </si>
  <si>
    <t xml:space="preserve">the appropriate expenditure heading for the same amount. Donated fixed assets are similarly taken to </t>
  </si>
  <si>
    <t>use of the item is probable and that economic benefit can be measured reliably.</t>
  </si>
  <si>
    <t xml:space="preserve">Support costs are allocated to each of the activities on one of the following the basis: either floor space  </t>
  </si>
  <si>
    <t>or staff time or staff headcount depending on the nature of the support costs, to best allocate the costs</t>
  </si>
  <si>
    <t>to each attributable heading. More detail on the analysis and basis of allocation is given in note X</t>
  </si>
  <si>
    <t xml:space="preserve"> to the financial statements.</t>
  </si>
  <si>
    <t>Gift aid from trading sub Hospice Trading Ltd</t>
  </si>
  <si>
    <t>The income from grants received was £345,000 (Prior year: £328,000) of which £45,000 was unrestricted</t>
  </si>
  <si>
    <t>Of the total expenditure of £3,872,500 (Prior year: £3,755,000), all raising funds expenditure of £1,153,000 (Prior year: £1,125,000) was unrestricted. Charitable activities expenditure of £2,719,500 (Prior year; £2,630,000); £100,000 (Prior year: £80,000) was designated, £345,000 (Prior year; £350,000) was restricted and £2,274,500 (Prior year: £2,200,000) was unrestricted.</t>
  </si>
  <si>
    <t>The charity trustees were not paid or received any other benefits from employment with the Hospice or its subsidiary in the year (Prior year: £nil) neither were they reimbursed expenses during the year (Prior year: £nil), other than as stated in note 23.</t>
  </si>
  <si>
    <t>The average monthly head count was 188 (Prior year: 182) and analysis of the staff employees in the year were:</t>
  </si>
  <si>
    <t>Pension contributions relating to those staff earning over £60,000 totalled £25,000 in the current year (Prior year: £24,000).</t>
  </si>
  <si>
    <t xml:space="preserve">The Hospice considers that the key management personnel comprise the trustees and the senior management team - who are the Chief Executive and 4 other key directors. The total employee benefits of the key management personnel of the Hospice were £445,725 (Prior year: £418,975). 
</t>
  </si>
  <si>
    <t>The key management personnel of the group comprise those of the Hospice and the key management personnel of its wholly owned subsidiary Hospice Trading Limited which includes the 2 directors whose employee benefits totalled £56,000 (Prior year: £54,356) and therefore the total for the group key management personnel was £501,725 (Prior year: £473,331)</t>
  </si>
  <si>
    <t xml:space="preserve">The hospice had an average of 100 volunteers during the year (Prior year: 95), of which 60 (Prior year: 60) worked in our retail operations and 40 (Prior year: 35) supported the charitable and administrative work of the hospice. We are extremely grateful for all their efforts. </t>
  </si>
  <si>
    <t>The amount is repayable in 2020 and attracts an annual interest rate of 5%, and the charity received £8,750 (Prior year: £8,750) from the subsidiary as interest payments during the year.</t>
  </si>
  <si>
    <t>£5,000 was paid to Smith &amp; Jones, a legal firm in which one trustee Mr Nick Smith is a partner. The amount was fully paid during the year and there is no amount outstanding at the balance sheet date (Prior year: £Nil). Smith &amp; Jones were engaged to provide legal advice in relation to employment advice issues arising during the year and were approached as their quote was the most competitive from those sought by the trustees in this matter.</t>
  </si>
  <si>
    <t>(Prior year: £325,000)</t>
  </si>
  <si>
    <t>The hospice meets the definition of a public benefit entity under FRS 102. Assets and</t>
  </si>
  <si>
    <t xml:space="preserve">Further details of their contribution is provided in note 12 to these financial statements and in the </t>
  </si>
  <si>
    <t>The aim and use of each material designated and restricted fund is set out in the notes to the financial statements.</t>
  </si>
  <si>
    <t xml:space="preserve">The cost of raising and administering such funds are charged against the specific fund. </t>
  </si>
  <si>
    <t>This example is necessarily of a general nature and specific advice should be sought from your own professional adviser for your specific situation.</t>
  </si>
  <si>
    <t>Example Set of Hospice Accounts under the FRS 102 SORP for the year ended XXXX</t>
  </si>
  <si>
    <t>Consolidated balance sheets as at X</t>
  </si>
  <si>
    <t>Fixed assets</t>
  </si>
  <si>
    <t>Statement of cash flows and consolidated statement of cash flows as at X</t>
  </si>
  <si>
    <t>In preparing these accounts, the Trustees have considered whether in applying the accounting</t>
  </si>
  <si>
    <t xml:space="preserve">donations where the donor has specified they should only be used for particular areas of the hospice's work.  </t>
  </si>
  <si>
    <t xml:space="preserve">been notified to the charity or the charity is aware of the granting of probate, and the criteria for income </t>
  </si>
  <si>
    <t>material (see note 3).</t>
  </si>
  <si>
    <t>The need for any impairment of a fixed asset write-down is considered if there is concern over the</t>
  </si>
  <si>
    <t>carrying value of an asset and is assessed by comparing that carrying value against the value in use or</t>
  </si>
  <si>
    <t>to reserves in a separate Revaluation reserve.</t>
  </si>
  <si>
    <t>The Statement of Financial Activities includes the net gains and losses arising on revaluation</t>
  </si>
  <si>
    <t>(Prior year: £275,000) and £50,000 restricted (Prior year: £25,000). Included within restricted funds,</t>
  </si>
  <si>
    <t>legacy income included a restricted gift of £50,000 from the late</t>
  </si>
  <si>
    <t>Grants received</t>
  </si>
  <si>
    <t>(Prior year: £48,000) and £300,000 restricted (Prior year: £280,000) from ABC Charitable Trust Limited which</t>
  </si>
  <si>
    <t>is restricted to providing hospice care services only.</t>
  </si>
  <si>
    <t>The government grants receivable have bee analysed by reference to the charitable activity so supported. The total government grants receivable from NHS service contracts is £797,000 (2015: £488,000). The specific funders are as follows: £450,000 (Prior year: £345,000) relates to a 48 month contract with XXXXX Clinical Commissioning Group (CCG) which commenced on 1 April 20XX. All terms of the contract in the year have been fulfilled and there are no indications that the contract will not continue until it ends on 31 March XX - it covers the in patient care, daycare, hospice at home and community services. A further XXXXX CCG grant was started on 1 April in the year for the XXX area only and this amounted to £210,000 (Prior year: £ nil) on a 24 month trial contract which will end at 31 March XXXX. A further contract with XXXX CCG covered education and research, hospital services, lymphedema and bereavement which totalled £137,000 (Prior year: £143,000) with funding being directed specifically at bereavement services in year two of the contract. The contract commenced on 1 April XXX for 24 months and ended at the 31 March XXX this year. Since the year end a further 24 month contract has been secured for similar services .</t>
  </si>
  <si>
    <t>Governance costs comprise £15,000 (Prior year: £14,000) audit fees and £3,000 (Prior year: £3,000) accountancy fees; £5,000 (Prior year: £4,000) costs of trustee meetings and £8,000 (Prior year: £7,000) professional fees.</t>
  </si>
  <si>
    <t>Analysis of investments</t>
  </si>
  <si>
    <t>Total group</t>
  </si>
  <si>
    <t>The property represents a flat at  High Street which was last formally valued at 31 December last year by J Brown &amp; Co, Chartered Surveyors, at £250,000. The 2015 valuation was undertaken by the Trustees, at open market value and the trustees are satisfied that the current open market value is not materially different from the value included within the financial statements.</t>
  </si>
  <si>
    <t>Trading subsidiary</t>
  </si>
  <si>
    <t>Income statement</t>
  </si>
  <si>
    <t>Cost of sales</t>
  </si>
  <si>
    <t>Gross profit</t>
  </si>
  <si>
    <t>Operating expenses</t>
  </si>
  <si>
    <t>Balance sheet</t>
  </si>
  <si>
    <t>Net assets</t>
  </si>
  <si>
    <t xml:space="preserve">of all fixed assets evenly over their expected economic useful lives on a straight line basis as follows: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</si>
</sst>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s>
  <fonts count="47">
    <font>
      <sz val="10"/>
      <name val="Arial"/>
      <family val="0"/>
    </font>
    <font>
      <sz val="8"/>
      <name val="Arial"/>
      <family val="2"/>
    </font>
    <font>
      <b/>
      <sz val="10"/>
      <name val="Arial"/>
      <family val="2"/>
    </font>
    <font>
      <i/>
      <sz val="10"/>
      <name val="Arial"/>
      <family val="2"/>
    </font>
    <font>
      <u val="single"/>
      <sz val="10"/>
      <color indexed="12"/>
      <name val="Arial"/>
      <family val="2"/>
    </font>
    <font>
      <u val="single"/>
      <sz val="10"/>
      <color indexed="36"/>
      <name val="Arial"/>
      <family val="2"/>
    </font>
    <font>
      <b/>
      <i/>
      <sz val="10"/>
      <name val="Arial"/>
      <family val="2"/>
    </font>
    <font>
      <sz val="10"/>
      <color indexed="10"/>
      <name val="Arial"/>
      <family val="2"/>
    </font>
    <font>
      <b/>
      <sz val="10"/>
      <color indexed="10"/>
      <name val="Arial"/>
      <family val="2"/>
    </font>
    <font>
      <b/>
      <sz val="14"/>
      <name val="Arial"/>
      <family val="2"/>
    </font>
    <font>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double"/>
    </border>
    <border>
      <left>
        <color indexed="63"/>
      </left>
      <right>
        <color indexed="63"/>
      </right>
      <top style="thin"/>
      <bottom style="thin"/>
    </border>
    <border>
      <left>
        <color indexed="63"/>
      </left>
      <right>
        <color indexed="63"/>
      </right>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color indexed="63"/>
      </top>
      <bottom style="medium"/>
    </border>
    <border>
      <left>
        <color indexed="63"/>
      </left>
      <right>
        <color indexed="63"/>
      </right>
      <top>
        <color indexed="63"/>
      </top>
      <bottom style="double"/>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5"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4"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95">
    <xf numFmtId="0" fontId="0" fillId="0" borderId="0" xfId="0" applyAlignment="1">
      <alignment/>
    </xf>
    <xf numFmtId="164" fontId="0" fillId="0" borderId="0" xfId="0" applyNumberFormat="1" applyAlignment="1">
      <alignment wrapText="1"/>
    </xf>
    <xf numFmtId="164" fontId="0" fillId="0" borderId="0" xfId="0" applyNumberFormat="1" applyAlignment="1">
      <alignment/>
    </xf>
    <xf numFmtId="164" fontId="2" fillId="0" borderId="0" xfId="0" applyNumberFormat="1" applyFont="1" applyAlignment="1">
      <alignment/>
    </xf>
    <xf numFmtId="164" fontId="2" fillId="0" borderId="0" xfId="0" applyNumberFormat="1" applyFont="1" applyAlignment="1">
      <alignment wrapText="1"/>
    </xf>
    <xf numFmtId="164" fontId="3" fillId="0" borderId="0" xfId="0" applyNumberFormat="1" applyFont="1" applyAlignment="1">
      <alignment/>
    </xf>
    <xf numFmtId="164" fontId="0" fillId="0" borderId="0" xfId="0" applyNumberFormat="1" applyFont="1" applyAlignment="1">
      <alignment wrapText="1"/>
    </xf>
    <xf numFmtId="164" fontId="3" fillId="0" borderId="0" xfId="0" applyNumberFormat="1" applyFont="1" applyAlignment="1">
      <alignment wrapText="1"/>
    </xf>
    <xf numFmtId="164" fontId="6" fillId="0" borderId="0" xfId="0" applyNumberFormat="1" applyFont="1" applyAlignment="1">
      <alignment wrapText="1"/>
    </xf>
    <xf numFmtId="164" fontId="2" fillId="0" borderId="10" xfId="0" applyNumberFormat="1" applyFont="1" applyBorder="1" applyAlignment="1">
      <alignment/>
    </xf>
    <xf numFmtId="164" fontId="0" fillId="0" borderId="10" xfId="0" applyNumberFormat="1" applyBorder="1" applyAlignment="1">
      <alignment/>
    </xf>
    <xf numFmtId="164" fontId="2" fillId="0" borderId="11" xfId="0" applyNumberFormat="1" applyFont="1" applyFill="1" applyBorder="1" applyAlignment="1">
      <alignment/>
    </xf>
    <xf numFmtId="164" fontId="0" fillId="0" borderId="11" xfId="0" applyNumberFormat="1" applyBorder="1" applyAlignment="1">
      <alignment/>
    </xf>
    <xf numFmtId="164" fontId="2" fillId="0" borderId="11" xfId="0" applyNumberFormat="1" applyFont="1" applyBorder="1" applyAlignment="1">
      <alignment/>
    </xf>
    <xf numFmtId="164" fontId="7" fillId="0" borderId="0" xfId="0" applyNumberFormat="1" applyFont="1" applyAlignment="1">
      <alignment/>
    </xf>
    <xf numFmtId="164" fontId="7" fillId="0" borderId="0" xfId="0" applyNumberFormat="1" applyFont="1" applyAlignment="1">
      <alignment wrapText="1"/>
    </xf>
    <xf numFmtId="164" fontId="8" fillId="0" borderId="0" xfId="0" applyNumberFormat="1" applyFont="1" applyAlignment="1">
      <alignment/>
    </xf>
    <xf numFmtId="164" fontId="0" fillId="0" borderId="0" xfId="0" applyNumberFormat="1" applyBorder="1" applyAlignment="1">
      <alignment/>
    </xf>
    <xf numFmtId="164" fontId="0" fillId="0" borderId="0" xfId="0" applyNumberFormat="1" applyAlignment="1">
      <alignment horizontal="center"/>
    </xf>
    <xf numFmtId="164" fontId="8" fillId="0" borderId="11" xfId="0" applyNumberFormat="1" applyFont="1" applyBorder="1" applyAlignment="1">
      <alignment/>
    </xf>
    <xf numFmtId="164" fontId="6" fillId="0" borderId="0" xfId="0" applyNumberFormat="1" applyFont="1" applyAlignment="1">
      <alignment/>
    </xf>
    <xf numFmtId="164" fontId="2" fillId="0" borderId="12" xfId="0" applyNumberFormat="1" applyFont="1" applyBorder="1" applyAlignment="1">
      <alignment/>
    </xf>
    <xf numFmtId="164" fontId="0" fillId="0" borderId="12" xfId="0" applyNumberFormat="1" applyBorder="1" applyAlignment="1">
      <alignment/>
    </xf>
    <xf numFmtId="0" fontId="0" fillId="0" borderId="0" xfId="0" applyAlignment="1">
      <alignment wrapText="1"/>
    </xf>
    <xf numFmtId="164" fontId="2" fillId="0" borderId="0" xfId="0" applyNumberFormat="1" applyFont="1" applyBorder="1" applyAlignment="1">
      <alignment/>
    </xf>
    <xf numFmtId="164" fontId="2" fillId="0" borderId="13" xfId="0" applyNumberFormat="1" applyFont="1" applyBorder="1" applyAlignment="1">
      <alignment/>
    </xf>
    <xf numFmtId="164" fontId="2" fillId="0" borderId="14" xfId="0" applyNumberFormat="1" applyFont="1" applyBorder="1" applyAlignment="1">
      <alignment/>
    </xf>
    <xf numFmtId="164" fontId="2" fillId="0" borderId="15" xfId="0" applyNumberFormat="1" applyFont="1" applyBorder="1" applyAlignment="1">
      <alignment/>
    </xf>
    <xf numFmtId="164" fontId="0" fillId="0" borderId="16" xfId="0" applyNumberFormat="1" applyBorder="1" applyAlignment="1">
      <alignment/>
    </xf>
    <xf numFmtId="164" fontId="0" fillId="0" borderId="17" xfId="0" applyNumberFormat="1" applyBorder="1" applyAlignment="1">
      <alignment/>
    </xf>
    <xf numFmtId="164" fontId="9" fillId="0" borderId="0" xfId="0" applyNumberFormat="1" applyFont="1" applyAlignment="1">
      <alignment/>
    </xf>
    <xf numFmtId="164" fontId="0" fillId="0" borderId="0" xfId="0" applyNumberFormat="1" applyFont="1" applyAlignment="1">
      <alignment/>
    </xf>
    <xf numFmtId="164" fontId="0" fillId="0" borderId="0" xfId="0" applyNumberFormat="1" applyFill="1" applyAlignment="1">
      <alignment/>
    </xf>
    <xf numFmtId="164" fontId="2" fillId="0" borderId="0" xfId="0" applyNumberFormat="1" applyFont="1" applyFill="1" applyAlignment="1">
      <alignment/>
    </xf>
    <xf numFmtId="164" fontId="2" fillId="0" borderId="0" xfId="0" applyNumberFormat="1" applyFont="1" applyFill="1" applyAlignment="1">
      <alignment wrapText="1"/>
    </xf>
    <xf numFmtId="164" fontId="2" fillId="0" borderId="10" xfId="0" applyNumberFormat="1" applyFont="1" applyFill="1" applyBorder="1" applyAlignment="1">
      <alignment/>
    </xf>
    <xf numFmtId="164" fontId="6" fillId="0" borderId="0" xfId="0" applyNumberFormat="1" applyFont="1" applyFill="1" applyAlignment="1">
      <alignment wrapText="1"/>
    </xf>
    <xf numFmtId="164" fontId="0" fillId="0" borderId="0" xfId="0" applyNumberFormat="1" applyFill="1" applyBorder="1" applyAlignment="1">
      <alignment/>
    </xf>
    <xf numFmtId="0" fontId="0" fillId="0" borderId="0" xfId="0" applyFill="1" applyAlignment="1">
      <alignment wrapText="1"/>
    </xf>
    <xf numFmtId="164" fontId="0" fillId="0" borderId="0" xfId="0" applyNumberFormat="1" applyFill="1" applyAlignment="1">
      <alignment wrapText="1"/>
    </xf>
    <xf numFmtId="164" fontId="3" fillId="0" borderId="0" xfId="0" applyNumberFormat="1" applyFont="1" applyFill="1" applyAlignment="1">
      <alignment wrapText="1"/>
    </xf>
    <xf numFmtId="164" fontId="7" fillId="0" borderId="0" xfId="0" applyNumberFormat="1" applyFont="1" applyFill="1" applyAlignment="1">
      <alignment/>
    </xf>
    <xf numFmtId="164" fontId="6" fillId="0" borderId="0" xfId="0" applyNumberFormat="1" applyFont="1" applyAlignment="1">
      <alignment horizontal="left" wrapText="1"/>
    </xf>
    <xf numFmtId="164" fontId="2" fillId="0" borderId="0" xfId="0" applyNumberFormat="1" applyFont="1" applyBorder="1" applyAlignment="1">
      <alignment horizontal="center"/>
    </xf>
    <xf numFmtId="164" fontId="2" fillId="0" borderId="0" xfId="0" applyNumberFormat="1" applyFont="1" applyBorder="1" applyAlignment="1">
      <alignment horizontal="left"/>
    </xf>
    <xf numFmtId="164" fontId="2" fillId="0" borderId="0" xfId="0" applyNumberFormat="1" applyFont="1" applyBorder="1" applyAlignment="1">
      <alignment horizontal="right"/>
    </xf>
    <xf numFmtId="164" fontId="2" fillId="0" borderId="0" xfId="0" applyNumberFormat="1" applyFont="1" applyBorder="1" applyAlignment="1">
      <alignment horizontal="right" wrapText="1"/>
    </xf>
    <xf numFmtId="164" fontId="2" fillId="0" borderId="18" xfId="0" applyNumberFormat="1" applyFont="1" applyBorder="1" applyAlignment="1">
      <alignment/>
    </xf>
    <xf numFmtId="164" fontId="0" fillId="0" borderId="0" xfId="0" applyNumberFormat="1" applyFont="1" applyAlignment="1" quotePrefix="1">
      <alignment/>
    </xf>
    <xf numFmtId="0" fontId="0" fillId="0" borderId="0" xfId="0" applyAlignment="1">
      <alignment/>
    </xf>
    <xf numFmtId="164" fontId="0" fillId="33" borderId="0" xfId="0" applyNumberFormat="1" applyFill="1" applyAlignment="1">
      <alignment/>
    </xf>
    <xf numFmtId="164" fontId="0" fillId="33" borderId="0" xfId="0" applyNumberFormat="1" applyFont="1" applyFill="1" applyAlignment="1">
      <alignment/>
    </xf>
    <xf numFmtId="164" fontId="0" fillId="33" borderId="12" xfId="0" applyNumberFormat="1" applyFill="1" applyBorder="1" applyAlignment="1">
      <alignment/>
    </xf>
    <xf numFmtId="164" fontId="3" fillId="33" borderId="0" xfId="0" applyNumberFormat="1" applyFont="1" applyFill="1" applyAlignment="1">
      <alignment wrapText="1"/>
    </xf>
    <xf numFmtId="164" fontId="0" fillId="0" borderId="0" xfId="0" applyNumberFormat="1" applyFont="1" applyBorder="1" applyAlignment="1">
      <alignment/>
    </xf>
    <xf numFmtId="164" fontId="0" fillId="33" borderId="0" xfId="0" applyNumberFormat="1" applyFont="1" applyFill="1" applyAlignment="1" quotePrefix="1">
      <alignment/>
    </xf>
    <xf numFmtId="164" fontId="0" fillId="0" borderId="0" xfId="0" applyNumberFormat="1" applyFont="1" applyFill="1" applyBorder="1" applyAlignment="1">
      <alignment/>
    </xf>
    <xf numFmtId="164" fontId="2" fillId="0" borderId="0" xfId="0" applyNumberFormat="1" applyFont="1" applyAlignment="1">
      <alignment horizontal="left" wrapText="1"/>
    </xf>
    <xf numFmtId="164" fontId="0" fillId="0" borderId="0" xfId="0" applyNumberFormat="1" applyBorder="1" applyAlignment="1">
      <alignment wrapText="1"/>
    </xf>
    <xf numFmtId="164" fontId="2" fillId="0" borderId="0" xfId="0" applyNumberFormat="1" applyFont="1" applyFill="1" applyBorder="1" applyAlignment="1">
      <alignment/>
    </xf>
    <xf numFmtId="164" fontId="2" fillId="0" borderId="0" xfId="0" applyNumberFormat="1" applyFont="1" applyBorder="1" applyAlignment="1">
      <alignment wrapText="1"/>
    </xf>
    <xf numFmtId="164" fontId="6" fillId="0" borderId="0" xfId="0" applyNumberFormat="1" applyFont="1" applyBorder="1" applyAlignment="1">
      <alignment wrapText="1"/>
    </xf>
    <xf numFmtId="164" fontId="2" fillId="0" borderId="0" xfId="0" applyNumberFormat="1" applyFont="1" applyFill="1" applyBorder="1" applyAlignment="1">
      <alignment wrapText="1"/>
    </xf>
    <xf numFmtId="164" fontId="3" fillId="0" borderId="0" xfId="0" applyNumberFormat="1" applyFont="1" applyBorder="1" applyAlignment="1">
      <alignment wrapText="1"/>
    </xf>
    <xf numFmtId="164" fontId="0" fillId="0" borderId="0" xfId="0" applyNumberFormat="1" applyFont="1" applyFill="1" applyAlignment="1">
      <alignment/>
    </xf>
    <xf numFmtId="164" fontId="2" fillId="0" borderId="17" xfId="0" applyNumberFormat="1" applyFont="1" applyBorder="1" applyAlignment="1">
      <alignment/>
    </xf>
    <xf numFmtId="164" fontId="0" fillId="0" borderId="0" xfId="0" applyNumberFormat="1" applyAlignment="1">
      <alignment/>
    </xf>
    <xf numFmtId="164" fontId="0" fillId="0" borderId="0" xfId="0" applyNumberFormat="1" applyAlignment="1">
      <alignment horizontal="left" wrapText="1"/>
    </xf>
    <xf numFmtId="164" fontId="0" fillId="0" borderId="0" xfId="0" applyNumberFormat="1" applyFont="1" applyAlignment="1">
      <alignment horizontal="left" wrapText="1"/>
    </xf>
    <xf numFmtId="164" fontId="2" fillId="0" borderId="0" xfId="0" applyNumberFormat="1" applyFont="1" applyAlignment="1">
      <alignment horizontal="right"/>
    </xf>
    <xf numFmtId="164" fontId="0" fillId="0" borderId="0" xfId="0" applyNumberFormat="1" applyAlignment="1">
      <alignment horizontal="right"/>
    </xf>
    <xf numFmtId="164" fontId="3" fillId="0" borderId="0" xfId="0" applyNumberFormat="1" applyFont="1" applyAlignment="1">
      <alignment horizontal="right"/>
    </xf>
    <xf numFmtId="164" fontId="0" fillId="0" borderId="0" xfId="0" applyNumberFormat="1" applyFont="1" applyAlignment="1">
      <alignment horizontal="right"/>
    </xf>
    <xf numFmtId="164" fontId="0" fillId="0" borderId="0" xfId="0" applyNumberFormat="1" applyFont="1" applyBorder="1" applyAlignment="1">
      <alignment horizontal="right"/>
    </xf>
    <xf numFmtId="164" fontId="0" fillId="0" borderId="0" xfId="0" applyNumberFormat="1" applyFont="1" applyAlignment="1">
      <alignment/>
    </xf>
    <xf numFmtId="164" fontId="0" fillId="0" borderId="0" xfId="0" applyNumberFormat="1" applyFont="1" applyAlignment="1">
      <alignment horizontal="left" vertical="top" wrapText="1"/>
    </xf>
    <xf numFmtId="164" fontId="6" fillId="0" borderId="0" xfId="0" applyNumberFormat="1" applyFont="1" applyAlignment="1">
      <alignment horizontal="left" vertical="top" wrapText="1"/>
    </xf>
    <xf numFmtId="0" fontId="10" fillId="0" borderId="0" xfId="0" applyFont="1" applyAlignment="1">
      <alignment/>
    </xf>
    <xf numFmtId="164" fontId="9" fillId="0" borderId="0" xfId="0" applyNumberFormat="1" applyFont="1" applyAlignment="1">
      <alignment horizontal="center" wrapText="1"/>
    </xf>
    <xf numFmtId="164" fontId="0" fillId="0" borderId="0" xfId="0" applyNumberFormat="1" applyFont="1" applyAlignment="1">
      <alignment wrapText="1"/>
    </xf>
    <xf numFmtId="0" fontId="0" fillId="0" borderId="0" xfId="0" applyAlignment="1">
      <alignment wrapText="1"/>
    </xf>
    <xf numFmtId="164" fontId="0" fillId="0" borderId="0" xfId="0" applyNumberFormat="1" applyFont="1" applyAlignment="1">
      <alignment horizontal="left" vertical="top" wrapText="1"/>
    </xf>
    <xf numFmtId="164" fontId="0" fillId="0" borderId="0" xfId="0" applyNumberFormat="1" applyAlignment="1">
      <alignment horizontal="left" vertical="top" wrapText="1"/>
    </xf>
    <xf numFmtId="0" fontId="0" fillId="0" borderId="0" xfId="0" applyAlignment="1">
      <alignment horizontal="left" vertical="top" wrapText="1"/>
    </xf>
    <xf numFmtId="164" fontId="0" fillId="0" borderId="0" xfId="0" applyNumberFormat="1" applyFont="1" applyAlignment="1">
      <alignment horizontal="left" wrapText="1"/>
    </xf>
    <xf numFmtId="164" fontId="0" fillId="0" borderId="0" xfId="0" applyNumberFormat="1" applyAlignment="1">
      <alignment horizontal="left" wrapText="1"/>
    </xf>
    <xf numFmtId="164" fontId="0" fillId="0" borderId="0" xfId="0" applyNumberFormat="1" applyAlignment="1">
      <alignment horizontal="center"/>
    </xf>
    <xf numFmtId="164" fontId="2" fillId="0" borderId="0" xfId="0" applyNumberFormat="1" applyFont="1" applyAlignment="1">
      <alignment horizontal="center"/>
    </xf>
    <xf numFmtId="164" fontId="0" fillId="0" borderId="0" xfId="0" applyNumberFormat="1" applyAlignment="1">
      <alignment wrapText="1"/>
    </xf>
    <xf numFmtId="0" fontId="46" fillId="0" borderId="0" xfId="0" applyFont="1" applyAlignment="1">
      <alignment horizontal="left" vertical="top" wrapText="1"/>
    </xf>
    <xf numFmtId="0" fontId="0" fillId="0" borderId="0" xfId="0" applyAlignment="1">
      <alignment/>
    </xf>
    <xf numFmtId="164" fontId="6" fillId="0" borderId="0" xfId="0" applyNumberFormat="1" applyFont="1" applyAlignment="1">
      <alignment horizontal="left" vertical="top" wrapText="1"/>
    </xf>
    <xf numFmtId="164" fontId="3" fillId="0" borderId="0" xfId="0" applyNumberFormat="1" applyFont="1" applyAlignment="1">
      <alignment horizontal="left" wrapText="1"/>
    </xf>
    <xf numFmtId="164" fontId="6" fillId="0" borderId="0" xfId="0" applyNumberFormat="1" applyFont="1" applyAlignment="1">
      <alignment horizontal="left" wrapText="1"/>
    </xf>
    <xf numFmtId="164" fontId="6" fillId="0" borderId="0" xfId="0" applyNumberFormat="1" applyFont="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504825</xdr:colOff>
      <xdr:row>1</xdr:row>
      <xdr:rowOff>142875</xdr:rowOff>
    </xdr:from>
    <xdr:to>
      <xdr:col>5</xdr:col>
      <xdr:colOff>0</xdr:colOff>
      <xdr:row>8</xdr:row>
      <xdr:rowOff>76200</xdr:rowOff>
    </xdr:to>
    <xdr:pic>
      <xdr:nvPicPr>
        <xdr:cNvPr id="1" name="Picture 1"/>
        <xdr:cNvPicPr preferRelativeResize="1">
          <a:picLocks noChangeAspect="1"/>
        </xdr:cNvPicPr>
      </xdr:nvPicPr>
      <xdr:blipFill>
        <a:blip r:embed="rId1"/>
        <a:stretch>
          <a:fillRect/>
        </a:stretch>
      </xdr:blipFill>
      <xdr:spPr>
        <a:xfrm>
          <a:off x="504825" y="304800"/>
          <a:ext cx="2543175" cy="1066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B10:I24"/>
  <sheetViews>
    <sheetView tabSelected="1" zoomScalePageLayoutView="0" workbookViewId="0" topLeftCell="A1">
      <selection activeCell="H31" sqref="H31"/>
    </sheetView>
  </sheetViews>
  <sheetFormatPr defaultColWidth="9.140625" defaultRowHeight="12.75"/>
  <sheetData>
    <row r="10" spans="2:9" ht="66.75" customHeight="1">
      <c r="B10" s="78" t="s">
        <v>536</v>
      </c>
      <c r="C10" s="78"/>
      <c r="D10" s="78"/>
      <c r="E10" s="78"/>
      <c r="F10" s="78"/>
      <c r="G10" s="78"/>
      <c r="H10" s="78"/>
      <c r="I10" s="78"/>
    </row>
    <row r="24" ht="14.25">
      <c r="B24" s="77" t="s">
        <v>535</v>
      </c>
    </row>
  </sheetData>
  <sheetProtection password="D3F2" sheet="1" formatCells="0" formatColumns="0" formatRows="0" insertColumns="0" insertRows="0" insertHyperlinks="0" deleteColumns="0" deleteRows="0" sort="0" autoFilter="0" pivotTables="0"/>
  <mergeCells count="1">
    <mergeCell ref="B10:I10"/>
  </mergeCell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I65"/>
  <sheetViews>
    <sheetView view="pageBreakPreview" zoomScaleSheetLayoutView="100" zoomScalePageLayoutView="0" workbookViewId="0" topLeftCell="B1">
      <selection activeCell="G15" sqref="G15"/>
    </sheetView>
  </sheetViews>
  <sheetFormatPr defaultColWidth="9.140625" defaultRowHeight="12.75"/>
  <cols>
    <col min="1" max="1" width="0" style="2" hidden="1" customWidth="1"/>
    <col min="2" max="2" width="33.421875" style="1" customWidth="1"/>
    <col min="3" max="3" width="8.00390625" style="2" customWidth="1"/>
    <col min="4" max="4" width="14.7109375" style="17" customWidth="1"/>
    <col min="5" max="5" width="12.421875" style="17" customWidth="1"/>
    <col min="6" max="6" width="13.57421875" style="17" customWidth="1"/>
    <col min="7" max="7" width="14.57421875" style="17" customWidth="1"/>
    <col min="8" max="8" width="2.7109375" style="17" customWidth="1"/>
    <col min="9" max="9" width="15.7109375" style="17" customWidth="1"/>
    <col min="10" max="10" width="5.140625" style="2" customWidth="1"/>
    <col min="11" max="16384" width="9.140625" style="2" customWidth="1"/>
  </cols>
  <sheetData>
    <row r="1" spans="2:9" ht="45.75" customHeight="1">
      <c r="B1" s="78" t="s">
        <v>197</v>
      </c>
      <c r="C1" s="78"/>
      <c r="D1" s="78"/>
      <c r="E1" s="78"/>
      <c r="F1" s="78"/>
      <c r="G1" s="78"/>
      <c r="H1" s="78"/>
      <c r="I1" s="78"/>
    </row>
    <row r="2" ht="12.75" hidden="1">
      <c r="B2" s="4"/>
    </row>
    <row r="3" ht="12.75">
      <c r="B3" s="4"/>
    </row>
    <row r="4" spans="1:9" ht="12.75">
      <c r="A4" s="3" t="s">
        <v>153</v>
      </c>
      <c r="D4" s="44" t="s">
        <v>206</v>
      </c>
      <c r="E4" s="44"/>
      <c r="F4" s="24"/>
      <c r="G4" s="24"/>
      <c r="H4" s="24"/>
      <c r="I4" s="43" t="s">
        <v>207</v>
      </c>
    </row>
    <row r="5" spans="1:9" ht="15.75" customHeight="1">
      <c r="A5" s="3" t="s">
        <v>136</v>
      </c>
      <c r="B5" s="4" t="s">
        <v>199</v>
      </c>
      <c r="D5" s="45" t="s">
        <v>14</v>
      </c>
      <c r="E5" s="45" t="s">
        <v>15</v>
      </c>
      <c r="F5" s="45" t="s">
        <v>194</v>
      </c>
      <c r="G5" s="45" t="s">
        <v>198</v>
      </c>
      <c r="H5" s="45"/>
      <c r="I5" s="46" t="s">
        <v>198</v>
      </c>
    </row>
    <row r="6" spans="3:9" ht="12.75">
      <c r="C6" s="2" t="s">
        <v>28</v>
      </c>
      <c r="D6" s="45" t="s">
        <v>66</v>
      </c>
      <c r="E6" s="45" t="s">
        <v>66</v>
      </c>
      <c r="F6" s="45" t="s">
        <v>66</v>
      </c>
      <c r="G6" s="45" t="s">
        <v>66</v>
      </c>
      <c r="H6" s="45"/>
      <c r="I6" s="45" t="s">
        <v>66</v>
      </c>
    </row>
    <row r="7" spans="1:2" ht="12.75">
      <c r="A7" s="3" t="s">
        <v>137</v>
      </c>
      <c r="B7" s="8" t="s">
        <v>200</v>
      </c>
    </row>
    <row r="8" spans="2:9" ht="12.75">
      <c r="B8" s="1" t="s">
        <v>25</v>
      </c>
      <c r="C8" s="2">
        <v>2</v>
      </c>
      <c r="D8" s="17">
        <v>648500</v>
      </c>
      <c r="E8" s="17">
        <v>0</v>
      </c>
      <c r="F8" s="17">
        <v>0</v>
      </c>
      <c r="G8" s="17">
        <f>'SOFA Notes'!E14</f>
        <v>648500</v>
      </c>
      <c r="I8" s="17">
        <f>'SOFA Notes'!G14</f>
        <v>623000</v>
      </c>
    </row>
    <row r="9" spans="2:9" ht="12.75">
      <c r="B9" s="1" t="s">
        <v>26</v>
      </c>
      <c r="C9" s="2">
        <v>3</v>
      </c>
      <c r="D9" s="17">
        <v>150000</v>
      </c>
      <c r="E9" s="17">
        <v>0</v>
      </c>
      <c r="F9" s="17">
        <v>50000</v>
      </c>
      <c r="G9" s="17">
        <v>200000</v>
      </c>
      <c r="I9" s="17">
        <v>300000</v>
      </c>
    </row>
    <row r="10" spans="2:9" ht="12.75">
      <c r="B10" s="1" t="s">
        <v>27</v>
      </c>
      <c r="C10" s="2">
        <v>4</v>
      </c>
      <c r="D10" s="17">
        <v>45000</v>
      </c>
      <c r="E10" s="17">
        <v>0</v>
      </c>
      <c r="F10" s="17">
        <v>300000</v>
      </c>
      <c r="G10" s="17">
        <f>'SOFA Notes'!E36</f>
        <v>345000</v>
      </c>
      <c r="I10" s="17">
        <f>'SOFA Notes'!G36</f>
        <v>328000</v>
      </c>
    </row>
    <row r="11" ht="10.5" customHeight="1"/>
    <row r="12" spans="4:9" ht="12.75">
      <c r="D12" s="13">
        <f aca="true" t="shared" si="0" ref="D12:I12">SUM(D8:D10)</f>
        <v>843500</v>
      </c>
      <c r="E12" s="13">
        <f t="shared" si="0"/>
        <v>0</v>
      </c>
      <c r="F12" s="13">
        <f t="shared" si="0"/>
        <v>350000</v>
      </c>
      <c r="G12" s="13">
        <f t="shared" si="0"/>
        <v>1193500</v>
      </c>
      <c r="H12" s="13"/>
      <c r="I12" s="13">
        <f t="shared" si="0"/>
        <v>1251000</v>
      </c>
    </row>
    <row r="13" spans="1:2" ht="14.25" customHeight="1">
      <c r="A13" s="2" t="s">
        <v>138</v>
      </c>
      <c r="B13" s="42" t="s">
        <v>201</v>
      </c>
    </row>
    <row r="14" spans="2:9" ht="12.75">
      <c r="B14" s="1" t="s">
        <v>0</v>
      </c>
      <c r="C14" s="2">
        <v>5</v>
      </c>
      <c r="D14" s="17">
        <f>G14</f>
        <v>847000</v>
      </c>
      <c r="E14" s="17">
        <v>0</v>
      </c>
      <c r="F14" s="17">
        <v>0</v>
      </c>
      <c r="G14" s="17">
        <f>'SOFA Notes'!E53</f>
        <v>847000</v>
      </c>
      <c r="I14" s="17">
        <f>'SOFA Notes'!G53</f>
        <v>606000</v>
      </c>
    </row>
    <row r="15" spans="2:9" ht="12.75">
      <c r="B15" s="1" t="s">
        <v>1</v>
      </c>
      <c r="C15" s="2">
        <v>6</v>
      </c>
      <c r="D15" s="17">
        <f>G15</f>
        <v>350000</v>
      </c>
      <c r="E15" s="17">
        <v>0</v>
      </c>
      <c r="F15" s="17">
        <v>0</v>
      </c>
      <c r="G15" s="17">
        <f>'SOFA Notes'!E70</f>
        <v>350000</v>
      </c>
      <c r="I15" s="17">
        <f>'SOFA Notes'!G70</f>
        <v>310000</v>
      </c>
    </row>
    <row r="16" spans="2:9" ht="12.75">
      <c r="B16" s="1" t="s">
        <v>67</v>
      </c>
      <c r="C16" s="2">
        <v>7</v>
      </c>
      <c r="D16" s="17">
        <f>G16</f>
        <v>650000</v>
      </c>
      <c r="E16" s="17">
        <v>0</v>
      </c>
      <c r="F16" s="17">
        <v>0</v>
      </c>
      <c r="G16" s="17">
        <v>650000</v>
      </c>
      <c r="I16" s="17">
        <v>240000</v>
      </c>
    </row>
    <row r="18" spans="4:9" ht="12.75">
      <c r="D18" s="13">
        <f>SUM(D14:D16)</f>
        <v>1847000</v>
      </c>
      <c r="E18" s="13">
        <f>SUM(E14:E16)</f>
        <v>0</v>
      </c>
      <c r="F18" s="13">
        <f>SUM(F14:F16)</f>
        <v>0</v>
      </c>
      <c r="G18" s="13">
        <f>SUM(G14:G16)</f>
        <v>1847000</v>
      </c>
      <c r="H18" s="13"/>
      <c r="I18" s="13">
        <f>SUM(I14:I16)</f>
        <v>1156000</v>
      </c>
    </row>
    <row r="19" ht="12.75">
      <c r="B19" s="8"/>
    </row>
    <row r="20" spans="1:9" ht="12.75">
      <c r="A20" s="2" t="s">
        <v>139</v>
      </c>
      <c r="B20" s="8" t="s">
        <v>2</v>
      </c>
      <c r="C20" s="2">
        <v>8</v>
      </c>
      <c r="D20" s="24">
        <f>G20</f>
        <v>136800</v>
      </c>
      <c r="E20" s="24">
        <v>0</v>
      </c>
      <c r="F20" s="24">
        <v>0</v>
      </c>
      <c r="G20" s="24">
        <f>'SOFA Notes'!E97</f>
        <v>136800</v>
      </c>
      <c r="H20" s="24"/>
      <c r="I20" s="24">
        <f>'SOFA Notes'!G97</f>
        <v>169100</v>
      </c>
    </row>
    <row r="22" spans="1:9" s="3" customFormat="1" ht="16.5" customHeight="1">
      <c r="A22" s="3" t="s">
        <v>140</v>
      </c>
      <c r="B22" s="8" t="s">
        <v>3</v>
      </c>
      <c r="C22" s="31">
        <v>9</v>
      </c>
      <c r="D22" s="24">
        <f>G22</f>
        <v>814000</v>
      </c>
      <c r="E22" s="24">
        <v>0</v>
      </c>
      <c r="F22" s="24">
        <v>0</v>
      </c>
      <c r="G22" s="24">
        <f>'SOFA Notes'!G114</f>
        <v>814000</v>
      </c>
      <c r="H22" s="24"/>
      <c r="I22" s="24">
        <f>'SOFA Notes'!J114</f>
        <v>488000</v>
      </c>
    </row>
    <row r="23" ht="13.5" thickBot="1"/>
    <row r="24" spans="2:9" s="3" customFormat="1" ht="23.25" customHeight="1" thickBot="1">
      <c r="B24" s="4" t="s">
        <v>202</v>
      </c>
      <c r="D24" s="25">
        <f>D12+D18+D20+D22</f>
        <v>3641300</v>
      </c>
      <c r="E24" s="26">
        <f>E12+E18+E20+E22</f>
        <v>0</v>
      </c>
      <c r="F24" s="26">
        <f>F12+F18+F20+F22</f>
        <v>350000</v>
      </c>
      <c r="G24" s="26">
        <f>G12+G18+G20+G22</f>
        <v>3991300</v>
      </c>
      <c r="H24" s="26"/>
      <c r="I24" s="27">
        <f>I12+I18+I20+I22</f>
        <v>3064100</v>
      </c>
    </row>
    <row r="26" spans="1:9" ht="12.75">
      <c r="A26" s="2" t="s">
        <v>141</v>
      </c>
      <c r="B26" s="6" t="s">
        <v>208</v>
      </c>
      <c r="D26" s="17">
        <f>G26</f>
        <v>-615000</v>
      </c>
      <c r="E26" s="17">
        <v>0</v>
      </c>
      <c r="F26" s="17">
        <v>0</v>
      </c>
      <c r="G26" s="17">
        <f>-'SOFA Notes'!J126</f>
        <v>-615000</v>
      </c>
      <c r="I26" s="17">
        <f>-'SOFA Notes'!K126</f>
        <v>-606000</v>
      </c>
    </row>
    <row r="27" spans="1:9" ht="25.5">
      <c r="A27" s="2" t="s">
        <v>142</v>
      </c>
      <c r="B27" s="6" t="s">
        <v>50</v>
      </c>
      <c r="D27" s="17">
        <f>G27</f>
        <v>-533000</v>
      </c>
      <c r="E27" s="17">
        <v>0</v>
      </c>
      <c r="F27" s="17">
        <v>0</v>
      </c>
      <c r="G27" s="17">
        <f>-'SOFA Notes'!J128</f>
        <v>-533000</v>
      </c>
      <c r="I27" s="17">
        <f>-'SOFA Notes'!K128</f>
        <v>-514000</v>
      </c>
    </row>
    <row r="28" spans="1:9" ht="12.75">
      <c r="A28" s="2">
        <v>187</v>
      </c>
      <c r="B28" s="6" t="s">
        <v>51</v>
      </c>
      <c r="D28" s="17">
        <f>-'SOFA Notes'!E130</f>
        <v>-5000</v>
      </c>
      <c r="E28" s="17">
        <v>0</v>
      </c>
      <c r="F28" s="17">
        <f>'SOFA Notes'!G130</f>
        <v>0</v>
      </c>
      <c r="G28" s="17">
        <f>-'SOFA Notes'!J130</f>
        <v>-5000</v>
      </c>
      <c r="I28" s="17">
        <f>-'SOFA Notes'!K130</f>
        <v>-5000</v>
      </c>
    </row>
    <row r="30" spans="1:9" s="3" customFormat="1" ht="12.75">
      <c r="A30" s="3" t="s">
        <v>143</v>
      </c>
      <c r="B30" s="8" t="s">
        <v>205</v>
      </c>
      <c r="D30" s="13">
        <f>SUM(D26:D28)</f>
        <v>-1153000</v>
      </c>
      <c r="E30" s="13">
        <f>SUM(E26:E28)</f>
        <v>0</v>
      </c>
      <c r="F30" s="13">
        <f>SUM(F26:F28)</f>
        <v>0</v>
      </c>
      <c r="G30" s="13">
        <f>SUM(G26:G28)</f>
        <v>-1153000</v>
      </c>
      <c r="H30" s="13"/>
      <c r="I30" s="13">
        <f>SUM(I26:I28)</f>
        <v>-1125000</v>
      </c>
    </row>
    <row r="32" spans="2:9" ht="12.75">
      <c r="B32" s="1" t="s">
        <v>6</v>
      </c>
      <c r="D32" s="17">
        <f aca="true" t="shared" si="1" ref="D32:D39">G32-F32-E32</f>
        <v>-1601000</v>
      </c>
      <c r="F32" s="17">
        <v>-150000</v>
      </c>
      <c r="G32" s="17">
        <f>-'SOFA Notes'!J134</f>
        <v>-1751000</v>
      </c>
      <c r="I32" s="17">
        <f>-'SOFA Notes'!K134</f>
        <v>-1706000</v>
      </c>
    </row>
    <row r="33" spans="2:9" ht="12.75">
      <c r="B33" s="1" t="s">
        <v>7</v>
      </c>
      <c r="D33" s="17">
        <f t="shared" si="1"/>
        <v>-266000</v>
      </c>
      <c r="F33" s="17">
        <v>-50000</v>
      </c>
      <c r="G33" s="17">
        <f>-'SOFA Notes'!J135</f>
        <v>-316000</v>
      </c>
      <c r="I33" s="17">
        <f>-'SOFA Notes'!K135</f>
        <v>-304000</v>
      </c>
    </row>
    <row r="34" spans="2:9" ht="12.75">
      <c r="B34" s="1" t="s">
        <v>8</v>
      </c>
      <c r="D34" s="17">
        <f t="shared" si="1"/>
        <v>-99000</v>
      </c>
      <c r="F34" s="17">
        <v>-60000</v>
      </c>
      <c r="G34" s="17">
        <f>-'SOFA Notes'!J136</f>
        <v>-159000</v>
      </c>
      <c r="I34" s="17">
        <f>-'SOFA Notes'!K136</f>
        <v>-153000</v>
      </c>
    </row>
    <row r="35" spans="2:9" ht="12.75">
      <c r="B35" s="1" t="s">
        <v>9</v>
      </c>
      <c r="D35" s="17">
        <f t="shared" si="1"/>
        <v>-78000</v>
      </c>
      <c r="E35" s="17">
        <v>-100000</v>
      </c>
      <c r="F35" s="17">
        <v>-40000</v>
      </c>
      <c r="G35" s="17">
        <f>-'SOFA Notes'!J137</f>
        <v>-218000</v>
      </c>
      <c r="I35" s="17">
        <f>-'SOFA Notes'!K137</f>
        <v>-203000</v>
      </c>
    </row>
    <row r="36" spans="2:9" ht="12.75">
      <c r="B36" s="1" t="s">
        <v>13</v>
      </c>
      <c r="D36" s="17">
        <f t="shared" si="1"/>
        <v>-38000</v>
      </c>
      <c r="F36" s="17">
        <v>-45000</v>
      </c>
      <c r="G36" s="17">
        <f>-'SOFA Notes'!J138</f>
        <v>-83000</v>
      </c>
      <c r="I36" s="17">
        <f>-'SOFA Notes'!K138</f>
        <v>-76000</v>
      </c>
    </row>
    <row r="37" spans="2:9" ht="12.75">
      <c r="B37" s="1" t="s">
        <v>10</v>
      </c>
      <c r="D37" s="17">
        <f t="shared" si="1"/>
        <v>-75500</v>
      </c>
      <c r="G37" s="17">
        <f>-'SOFA Notes'!J139</f>
        <v>-75500</v>
      </c>
      <c r="I37" s="17">
        <f>-'SOFA Notes'!K139</f>
        <v>-71000</v>
      </c>
    </row>
    <row r="38" spans="2:9" ht="12.75">
      <c r="B38" s="1" t="s">
        <v>168</v>
      </c>
      <c r="D38" s="17">
        <f t="shared" si="1"/>
        <v>-80000</v>
      </c>
      <c r="G38" s="17">
        <f>-'SOFA Notes'!J140</f>
        <v>-80000</v>
      </c>
      <c r="I38" s="17">
        <f>-'SOFA Notes'!K140</f>
        <v>-76000</v>
      </c>
    </row>
    <row r="39" spans="2:9" ht="12.75">
      <c r="B39" s="1" t="s">
        <v>12</v>
      </c>
      <c r="D39" s="17">
        <f t="shared" si="1"/>
        <v>-45000</v>
      </c>
      <c r="G39" s="17">
        <f>-'SOFA Notes'!J141</f>
        <v>-45000</v>
      </c>
      <c r="I39" s="17">
        <f>-'SOFA Notes'!K141</f>
        <v>-41000</v>
      </c>
    </row>
    <row r="41" spans="1:9" s="3" customFormat="1" ht="12.75">
      <c r="A41" s="3" t="s">
        <v>144</v>
      </c>
      <c r="B41" s="8" t="s">
        <v>204</v>
      </c>
      <c r="D41" s="13">
        <f aca="true" t="shared" si="2" ref="D41:I41">SUM(D32:D39)</f>
        <v>-2282500</v>
      </c>
      <c r="E41" s="13">
        <f t="shared" si="2"/>
        <v>-100000</v>
      </c>
      <c r="F41" s="13">
        <f t="shared" si="2"/>
        <v>-345000</v>
      </c>
      <c r="G41" s="13">
        <f t="shared" si="2"/>
        <v>-2727500</v>
      </c>
      <c r="H41" s="13"/>
      <c r="I41" s="13">
        <f t="shared" si="2"/>
        <v>-2630000</v>
      </c>
    </row>
    <row r="43" ht="13.5" thickBot="1"/>
    <row r="44" spans="2:9" s="3" customFormat="1" ht="13.5" thickBot="1">
      <c r="B44" s="4" t="s">
        <v>203</v>
      </c>
      <c r="C44" s="3">
        <v>10</v>
      </c>
      <c r="D44" s="25">
        <f>D30+D41</f>
        <v>-3435500</v>
      </c>
      <c r="E44" s="26">
        <f>E30+E41</f>
        <v>-100000</v>
      </c>
      <c r="F44" s="26">
        <f>F30+F41</f>
        <v>-345000</v>
      </c>
      <c r="G44" s="26">
        <f>G30+G41</f>
        <v>-3880500</v>
      </c>
      <c r="H44" s="26"/>
      <c r="I44" s="27">
        <f>I30+I41</f>
        <v>-3755000</v>
      </c>
    </row>
    <row r="46" spans="2:9" s="3" customFormat="1" ht="63.75">
      <c r="B46" s="4" t="s">
        <v>510</v>
      </c>
      <c r="D46" s="24">
        <f>D24+D44</f>
        <v>205800</v>
      </c>
      <c r="E46" s="24">
        <f>E24+E44</f>
        <v>-100000</v>
      </c>
      <c r="F46" s="24">
        <f>F24+F44</f>
        <v>5000</v>
      </c>
      <c r="G46" s="24">
        <f>G24+G44</f>
        <v>110800</v>
      </c>
      <c r="H46" s="24"/>
      <c r="I46" s="24">
        <f>I24+I44</f>
        <v>-690900</v>
      </c>
    </row>
    <row r="47" ht="12.75">
      <c r="B47" s="6"/>
    </row>
    <row r="48" spans="2:9" ht="12.75">
      <c r="B48" s="6" t="s">
        <v>209</v>
      </c>
      <c r="D48" s="17">
        <v>155000</v>
      </c>
      <c r="E48" s="17">
        <v>0</v>
      </c>
      <c r="F48" s="17">
        <v>0</v>
      </c>
      <c r="G48" s="17">
        <v>155000</v>
      </c>
      <c r="I48" s="17">
        <v>107000</v>
      </c>
    </row>
    <row r="50" spans="2:9" s="3" customFormat="1" ht="25.5">
      <c r="B50" s="4" t="s">
        <v>213</v>
      </c>
      <c r="D50" s="47">
        <f>D46+D48</f>
        <v>360800</v>
      </c>
      <c r="E50" s="47">
        <f>E46+E48</f>
        <v>-100000</v>
      </c>
      <c r="F50" s="47">
        <f>F46+F48</f>
        <v>5000</v>
      </c>
      <c r="G50" s="47">
        <f>G46+G48</f>
        <v>265800</v>
      </c>
      <c r="H50" s="47"/>
      <c r="I50" s="47">
        <f>I46+I48</f>
        <v>-583900</v>
      </c>
    </row>
    <row r="52" spans="2:9" ht="12.75">
      <c r="B52" s="1" t="s">
        <v>59</v>
      </c>
      <c r="D52" s="17">
        <v>-50000</v>
      </c>
      <c r="E52" s="17">
        <v>50000</v>
      </c>
      <c r="F52" s="17">
        <v>0</v>
      </c>
      <c r="G52" s="17">
        <v>0</v>
      </c>
      <c r="I52" s="17">
        <v>0</v>
      </c>
    </row>
    <row r="54" ht="12.75">
      <c r="B54" s="4" t="s">
        <v>212</v>
      </c>
    </row>
    <row r="55" spans="1:9" ht="25.5">
      <c r="A55" s="2" t="s">
        <v>145</v>
      </c>
      <c r="B55" s="1" t="s">
        <v>60</v>
      </c>
      <c r="D55" s="52">
        <v>500000</v>
      </c>
      <c r="E55" s="22"/>
      <c r="F55" s="22"/>
      <c r="G55" s="22">
        <v>500000</v>
      </c>
      <c r="H55" s="22"/>
      <c r="I55" s="22">
        <v>200000</v>
      </c>
    </row>
    <row r="57" spans="2:9" s="3" customFormat="1" ht="12.75">
      <c r="B57" s="4" t="s">
        <v>61</v>
      </c>
      <c r="D57" s="24">
        <f>SUM(D50:D55)</f>
        <v>810800</v>
      </c>
      <c r="E57" s="24">
        <f>SUM(E50:E55)</f>
        <v>-50000</v>
      </c>
      <c r="F57" s="24">
        <f>SUM(F50:F55)</f>
        <v>5000</v>
      </c>
      <c r="G57" s="24">
        <f>SUM(G50:G55)</f>
        <v>765800</v>
      </c>
      <c r="H57" s="24"/>
      <c r="I57" s="24">
        <f>SUM(I50:I55)</f>
        <v>-383900</v>
      </c>
    </row>
    <row r="58" spans="2:9" s="3" customFormat="1" ht="12.75">
      <c r="B58" s="4"/>
      <c r="D58" s="24"/>
      <c r="E58" s="24"/>
      <c r="F58" s="24"/>
      <c r="G58" s="24"/>
      <c r="H58" s="24"/>
      <c r="I58" s="24"/>
    </row>
    <row r="59" ht="12.75">
      <c r="B59" s="8" t="s">
        <v>210</v>
      </c>
    </row>
    <row r="60" spans="2:9" ht="12.75">
      <c r="B60" s="1" t="s">
        <v>62</v>
      </c>
      <c r="D60" s="17">
        <v>3200000</v>
      </c>
      <c r="E60" s="17">
        <v>100000</v>
      </c>
      <c r="F60" s="17">
        <v>50000</v>
      </c>
      <c r="G60" s="17">
        <f>SUM(D60:F60)</f>
        <v>3350000</v>
      </c>
      <c r="I60" s="17">
        <f>3150000+583900</f>
        <v>3733900</v>
      </c>
    </row>
    <row r="62" spans="2:9" s="3" customFormat="1" ht="13.5" thickBot="1">
      <c r="B62" s="4" t="s">
        <v>63</v>
      </c>
      <c r="D62" s="9">
        <f>D57+D60</f>
        <v>4010800</v>
      </c>
      <c r="E62" s="9">
        <f>E57+E60</f>
        <v>50000</v>
      </c>
      <c r="F62" s="9">
        <f>F57+F60</f>
        <v>55000</v>
      </c>
      <c r="G62" s="9">
        <f>G57+G60</f>
        <v>4115800</v>
      </c>
      <c r="H62" s="9"/>
      <c r="I62" s="9">
        <f>I57+I60</f>
        <v>3350000</v>
      </c>
    </row>
    <row r="63" ht="13.5" thickTop="1"/>
    <row r="64" ht="12.75">
      <c r="C64" s="2" t="s">
        <v>166</v>
      </c>
    </row>
    <row r="65" spans="3:9" ht="30" customHeight="1">
      <c r="C65" s="79" t="s">
        <v>211</v>
      </c>
      <c r="D65" s="80"/>
      <c r="E65" s="80"/>
      <c r="F65" s="80"/>
      <c r="G65" s="80"/>
      <c r="H65" s="80"/>
      <c r="I65" s="80"/>
    </row>
  </sheetData>
  <sheetProtection password="D3F2" sheet="1" formatCells="0" formatColumns="0" formatRows="0" insertColumns="0" insertRows="0" insertHyperlinks="0" deleteColumns="0" deleteRows="0" sort="0" autoFilter="0" pivotTables="0"/>
  <mergeCells count="2">
    <mergeCell ref="C65:I65"/>
    <mergeCell ref="B1:I1"/>
  </mergeCells>
  <printOptions/>
  <pageMargins left="0.75" right="0.75" top="1" bottom="1" header="0.5" footer="0.5"/>
  <pageSetup horizontalDpi="300" verticalDpi="300" orientation="portrait" paperSize="9" scale="60" r:id="rId1"/>
</worksheet>
</file>

<file path=xl/worksheets/sheet3.xml><?xml version="1.0" encoding="utf-8"?>
<worksheet xmlns="http://schemas.openxmlformats.org/spreadsheetml/2006/main" xmlns:r="http://schemas.openxmlformats.org/officeDocument/2006/relationships">
  <dimension ref="A2:I50"/>
  <sheetViews>
    <sheetView view="pageBreakPreview" zoomScaleSheetLayoutView="100" zoomScalePageLayoutView="0" workbookViewId="0" topLeftCell="A1">
      <selection activeCell="H21" sqref="H21"/>
    </sheetView>
  </sheetViews>
  <sheetFormatPr defaultColWidth="9.140625" defaultRowHeight="12.75"/>
  <cols>
    <col min="1" max="1" width="5.8515625" style="2" customWidth="1"/>
    <col min="2" max="2" width="24.421875" style="2" customWidth="1"/>
    <col min="3" max="3" width="5.8515625" style="2" customWidth="1"/>
    <col min="4" max="4" width="3.57421875" style="2" customWidth="1"/>
    <col min="5" max="5" width="13.421875" style="2" bestFit="1" customWidth="1"/>
    <col min="6" max="6" width="13.28125" style="2" bestFit="1" customWidth="1"/>
    <col min="7" max="7" width="2.8515625" style="2" customWidth="1"/>
    <col min="8" max="8" width="13.7109375" style="2" bestFit="1" customWidth="1"/>
    <col min="9" max="9" width="13.57421875" style="2" bestFit="1" customWidth="1"/>
    <col min="10" max="16384" width="9.140625" style="2" customWidth="1"/>
  </cols>
  <sheetData>
    <row r="2" spans="1:2" ht="18">
      <c r="A2" s="30" t="s">
        <v>537</v>
      </c>
      <c r="B2" s="3"/>
    </row>
    <row r="4" spans="5:9" ht="12.75">
      <c r="E4" s="4" t="s">
        <v>74</v>
      </c>
      <c r="F4" s="4"/>
      <c r="G4" s="4"/>
      <c r="H4" s="4" t="s">
        <v>75</v>
      </c>
      <c r="I4" s="1"/>
    </row>
    <row r="5" spans="3:9" ht="12.75">
      <c r="C5" s="2" t="s">
        <v>150</v>
      </c>
      <c r="E5" s="1" t="s">
        <v>64</v>
      </c>
      <c r="F5" s="1" t="s">
        <v>65</v>
      </c>
      <c r="G5" s="1"/>
      <c r="H5" s="1" t="s">
        <v>64</v>
      </c>
      <c r="I5" s="1" t="s">
        <v>65</v>
      </c>
    </row>
    <row r="6" spans="2:9" ht="12.75">
      <c r="B6" s="1"/>
      <c r="E6" s="45" t="s">
        <v>66</v>
      </c>
      <c r="F6" s="73" t="s">
        <v>66</v>
      </c>
      <c r="G6" s="45"/>
      <c r="H6" s="45" t="s">
        <v>66</v>
      </c>
      <c r="I6" s="73" t="s">
        <v>66</v>
      </c>
    </row>
    <row r="7" ht="12.75">
      <c r="B7" s="8" t="s">
        <v>538</v>
      </c>
    </row>
    <row r="8" ht="12.75">
      <c r="B8" s="7"/>
    </row>
    <row r="9" spans="2:9" ht="12.75">
      <c r="B9" s="7" t="s">
        <v>215</v>
      </c>
      <c r="C9" s="2">
        <v>15</v>
      </c>
      <c r="E9" s="2">
        <f>'Balance Sheet Notes'!H25</f>
        <v>2408000</v>
      </c>
      <c r="F9" s="2">
        <f>'Balance Sheet Notes'!H27</f>
        <v>1956000</v>
      </c>
      <c r="H9" s="2">
        <f>'Balance Sheet Notes'!H47</f>
        <v>2401000</v>
      </c>
      <c r="I9" s="2">
        <f>'Balance Sheet Notes'!H49</f>
        <v>1945500</v>
      </c>
    </row>
    <row r="10" spans="2:9" ht="12.75">
      <c r="B10" s="7" t="s">
        <v>17</v>
      </c>
      <c r="C10" s="2">
        <v>16</v>
      </c>
      <c r="E10" s="2">
        <f>'Balance Sheet Notes'!D61</f>
        <v>1160000</v>
      </c>
      <c r="F10" s="2">
        <f>'Balance Sheet Notes'!D57</f>
        <v>1000000</v>
      </c>
      <c r="H10" s="2">
        <f>'Balance Sheet Notes'!F61</f>
        <v>1160002</v>
      </c>
      <c r="I10" s="2">
        <f>'Balance Sheet Notes'!F57</f>
        <v>1000002</v>
      </c>
    </row>
    <row r="11" spans="2:9" s="3" customFormat="1" ht="12.75">
      <c r="B11" s="8"/>
      <c r="E11" s="13">
        <f>E9+E10</f>
        <v>3568000</v>
      </c>
      <c r="F11" s="13">
        <f>F9+F10</f>
        <v>2956000</v>
      </c>
      <c r="G11" s="13"/>
      <c r="H11" s="13">
        <f>H9+H10</f>
        <v>3561002</v>
      </c>
      <c r="I11" s="13">
        <f>I9+I10</f>
        <v>2945502</v>
      </c>
    </row>
    <row r="12" ht="12.75">
      <c r="B12" s="7"/>
    </row>
    <row r="13" s="3" customFormat="1" ht="12.75">
      <c r="B13" s="8" t="s">
        <v>18</v>
      </c>
    </row>
    <row r="14" ht="12.75">
      <c r="B14" s="7"/>
    </row>
    <row r="15" spans="2:9" ht="12.75">
      <c r="B15" s="7" t="s">
        <v>19</v>
      </c>
      <c r="E15" s="2">
        <v>2000</v>
      </c>
      <c r="F15" s="2">
        <v>3000</v>
      </c>
      <c r="H15" s="2">
        <v>0</v>
      </c>
      <c r="I15" s="2">
        <v>0</v>
      </c>
    </row>
    <row r="16" spans="2:9" ht="12.75">
      <c r="B16" s="7" t="s">
        <v>20</v>
      </c>
      <c r="C16" s="2">
        <v>17</v>
      </c>
      <c r="E16" s="2">
        <f>'Balance Sheet Notes'!D122</f>
        <v>78000</v>
      </c>
      <c r="F16" s="2">
        <f>'Balance Sheet Notes'!E122</f>
        <v>67200</v>
      </c>
      <c r="H16" s="2">
        <f>'Balance Sheet Notes'!F122</f>
        <v>89000</v>
      </c>
      <c r="I16" s="2">
        <f>'Balance Sheet Notes'!G122</f>
        <v>75200</v>
      </c>
    </row>
    <row r="17" spans="2:9" ht="12.75">
      <c r="B17" s="7" t="s">
        <v>21</v>
      </c>
      <c r="E17" s="2">
        <f>669300-175000+200000</f>
        <v>694300</v>
      </c>
      <c r="F17" s="2">
        <v>535000</v>
      </c>
      <c r="H17" s="2">
        <f>834298-175000+200000</f>
        <v>859298</v>
      </c>
      <c r="I17" s="2">
        <v>709498</v>
      </c>
    </row>
    <row r="18" spans="2:9" s="3" customFormat="1" ht="12.75">
      <c r="B18" s="8"/>
      <c r="E18" s="13">
        <f>SUM(E15:E17)</f>
        <v>774300</v>
      </c>
      <c r="F18" s="13">
        <f>SUM(F15:F17)</f>
        <v>605200</v>
      </c>
      <c r="G18" s="13"/>
      <c r="H18" s="13">
        <f>SUM(H15:H17)</f>
        <v>948298</v>
      </c>
      <c r="I18" s="13">
        <f>SUM(I15:I17)</f>
        <v>784698</v>
      </c>
    </row>
    <row r="19" spans="2:9" s="3" customFormat="1" ht="12.75">
      <c r="B19" s="8" t="s">
        <v>128</v>
      </c>
      <c r="E19" s="24"/>
      <c r="F19" s="24"/>
      <c r="G19" s="24"/>
      <c r="H19" s="24"/>
      <c r="I19" s="24"/>
    </row>
    <row r="20" ht="12.75">
      <c r="B20" s="7"/>
    </row>
    <row r="21" spans="2:9" ht="25.5">
      <c r="B21" s="7" t="s">
        <v>169</v>
      </c>
      <c r="C21" s="2">
        <v>18</v>
      </c>
      <c r="E21" s="2">
        <f>'Balance Sheet Notes'!D132</f>
        <v>226500</v>
      </c>
      <c r="F21" s="2">
        <f>'Balance Sheet Notes'!E132</f>
        <v>211200</v>
      </c>
      <c r="H21" s="2">
        <f>'Balance Sheet Notes'!F132</f>
        <v>218500</v>
      </c>
      <c r="I21" s="2">
        <f>'Balance Sheet Notes'!G132</f>
        <v>205200</v>
      </c>
    </row>
    <row r="22" ht="12.75">
      <c r="B22" s="7"/>
    </row>
    <row r="23" spans="2:9" s="3" customFormat="1" ht="12.75">
      <c r="B23" s="8" t="s">
        <v>22</v>
      </c>
      <c r="E23" s="13">
        <f>E18-E21</f>
        <v>547800</v>
      </c>
      <c r="F23" s="13">
        <f>F18-F21</f>
        <v>394000</v>
      </c>
      <c r="G23" s="13"/>
      <c r="H23" s="13">
        <f>H18-H21</f>
        <v>729798</v>
      </c>
      <c r="I23" s="13">
        <f>I18-I21</f>
        <v>579498</v>
      </c>
    </row>
    <row r="24" ht="12.75">
      <c r="B24" s="7"/>
    </row>
    <row r="25" spans="2:9" s="3" customFormat="1" ht="25.5">
      <c r="B25" s="8" t="s">
        <v>24</v>
      </c>
      <c r="E25" s="13">
        <f>E23+E11</f>
        <v>4115800</v>
      </c>
      <c r="F25" s="13">
        <f>F23+F11</f>
        <v>3350000</v>
      </c>
      <c r="G25" s="13"/>
      <c r="H25" s="13">
        <f>H23+H11</f>
        <v>4290800</v>
      </c>
      <c r="I25" s="13">
        <f>I23+I11</f>
        <v>3525000</v>
      </c>
    </row>
    <row r="26" ht="12.75">
      <c r="B26" s="7"/>
    </row>
    <row r="27" spans="2:9" ht="38.25">
      <c r="B27" s="7" t="s">
        <v>23</v>
      </c>
      <c r="C27" s="2">
        <v>19</v>
      </c>
      <c r="E27" s="2">
        <v>0</v>
      </c>
      <c r="F27" s="2">
        <v>0</v>
      </c>
      <c r="H27" s="2">
        <v>-175000</v>
      </c>
      <c r="I27" s="2">
        <v>-175000</v>
      </c>
    </row>
    <row r="28" ht="12.75">
      <c r="B28" s="7"/>
    </row>
    <row r="29" spans="2:9" s="3" customFormat="1" ht="13.5" thickBot="1">
      <c r="B29" s="8" t="s">
        <v>216</v>
      </c>
      <c r="E29" s="9">
        <f>E25+E27</f>
        <v>4115800</v>
      </c>
      <c r="F29" s="9">
        <f>F25+F27</f>
        <v>3350000</v>
      </c>
      <c r="G29" s="9"/>
      <c r="H29" s="9">
        <f>H25+H27</f>
        <v>4115800</v>
      </c>
      <c r="I29" s="9">
        <f>I25+I27</f>
        <v>3350000</v>
      </c>
    </row>
    <row r="30" ht="13.5" thickTop="1">
      <c r="B30" s="7"/>
    </row>
    <row r="31" ht="12.75">
      <c r="B31" s="8" t="s">
        <v>214</v>
      </c>
    </row>
    <row r="32" ht="12.75">
      <c r="B32" s="7"/>
    </row>
    <row r="33" spans="2:9" ht="12.75">
      <c r="B33" s="7" t="s">
        <v>217</v>
      </c>
      <c r="C33" s="2">
        <v>20</v>
      </c>
      <c r="E33" s="2">
        <f>SOFA!F62</f>
        <v>55000</v>
      </c>
      <c r="F33" s="2">
        <f>SOFA!F60</f>
        <v>50000</v>
      </c>
      <c r="H33" s="2">
        <f>E33</f>
        <v>55000</v>
      </c>
      <c r="I33" s="2">
        <f>F33</f>
        <v>50000</v>
      </c>
    </row>
    <row r="34" ht="12.75">
      <c r="B34" s="7"/>
    </row>
    <row r="35" ht="12.75">
      <c r="B35" s="7" t="s">
        <v>70</v>
      </c>
    </row>
    <row r="36" ht="12.75">
      <c r="B36" s="7"/>
    </row>
    <row r="37" spans="2:9" ht="12.75">
      <c r="B37" s="7" t="s">
        <v>71</v>
      </c>
      <c r="C37" s="2">
        <v>21</v>
      </c>
      <c r="E37" s="2">
        <f>SOFA!E62</f>
        <v>50000</v>
      </c>
      <c r="F37" s="2">
        <f>SOFA!E60</f>
        <v>100000</v>
      </c>
      <c r="H37" s="2">
        <f>E37</f>
        <v>50000</v>
      </c>
      <c r="I37" s="2">
        <f>F37</f>
        <v>100000</v>
      </c>
    </row>
    <row r="38" spans="2:9" ht="12.75">
      <c r="B38" s="7" t="s">
        <v>72</v>
      </c>
      <c r="C38" s="2">
        <v>21</v>
      </c>
      <c r="E38" s="2">
        <f>SOFA!D62-700000</f>
        <v>3310800</v>
      </c>
      <c r="F38" s="2">
        <f>SOFA!D60-200000</f>
        <v>3000000</v>
      </c>
      <c r="H38" s="2">
        <f>E38</f>
        <v>3310800</v>
      </c>
      <c r="I38" s="2">
        <f>F38</f>
        <v>3000000</v>
      </c>
    </row>
    <row r="39" spans="2:9" ht="12.75">
      <c r="B39" s="53" t="s">
        <v>218</v>
      </c>
      <c r="C39" s="2">
        <v>21</v>
      </c>
      <c r="D39" s="50"/>
      <c r="E39" s="50">
        <v>700000</v>
      </c>
      <c r="F39" s="2">
        <v>200000</v>
      </c>
      <c r="H39" s="2">
        <v>700000</v>
      </c>
      <c r="I39" s="2">
        <v>200000</v>
      </c>
    </row>
    <row r="40" spans="2:9" s="3" customFormat="1" ht="12.75">
      <c r="B40" s="8" t="s">
        <v>195</v>
      </c>
      <c r="E40" s="13">
        <f>E37+E38+E39</f>
        <v>4060800</v>
      </c>
      <c r="F40" s="13">
        <f>+F39+F37+F38</f>
        <v>3300000</v>
      </c>
      <c r="G40" s="13"/>
      <c r="H40" s="13">
        <f>H37+H38+H39</f>
        <v>4060800</v>
      </c>
      <c r="I40" s="13">
        <f>I37+I38+I39</f>
        <v>3300000</v>
      </c>
    </row>
    <row r="41" ht="12.75">
      <c r="B41" s="7"/>
    </row>
    <row r="42" spans="2:9" s="3" customFormat="1" ht="13.5" thickBot="1">
      <c r="B42" s="8" t="s">
        <v>73</v>
      </c>
      <c r="C42" s="3">
        <v>22</v>
      </c>
      <c r="E42" s="9">
        <f>E33+E40</f>
        <v>4115800</v>
      </c>
      <c r="F42" s="9">
        <f>F33+F40</f>
        <v>3350000</v>
      </c>
      <c r="G42" s="9"/>
      <c r="H42" s="9">
        <f>H33+H40</f>
        <v>4115800</v>
      </c>
      <c r="I42" s="9">
        <f>I33+I40</f>
        <v>3350000</v>
      </c>
    </row>
    <row r="43" s="32" customFormat="1" ht="13.5" thickTop="1"/>
    <row r="45" ht="12.75">
      <c r="A45" s="2" t="s">
        <v>170</v>
      </c>
    </row>
    <row r="47" ht="12.75">
      <c r="A47" s="2" t="s">
        <v>167</v>
      </c>
    </row>
    <row r="48" ht="12.75">
      <c r="A48" s="2" t="s">
        <v>171</v>
      </c>
    </row>
    <row r="50" ht="12.75">
      <c r="A50" s="2" t="s">
        <v>172</v>
      </c>
    </row>
  </sheetData>
  <sheetProtection password="D3F2" sheet="1" formatCells="0" formatColumns="0" formatRows="0" insertColumns="0" insertRows="0" insertHyperlinks="0" deleteColumns="0" deleteRows="0" sort="0" autoFilter="0" pivotTables="0"/>
  <printOptions/>
  <pageMargins left="0.75" right="0.75" top="1" bottom="1" header="0.5" footer="0.5"/>
  <pageSetup horizontalDpi="300" verticalDpi="300" orientation="portrait" paperSize="9" scale="91" r:id="rId1"/>
</worksheet>
</file>

<file path=xl/worksheets/sheet4.xml><?xml version="1.0" encoding="utf-8"?>
<worksheet xmlns="http://schemas.openxmlformats.org/spreadsheetml/2006/main" xmlns:r="http://schemas.openxmlformats.org/officeDocument/2006/relationships">
  <sheetPr>
    <pageSetUpPr fitToPage="1"/>
  </sheetPr>
  <dimension ref="A2:I36"/>
  <sheetViews>
    <sheetView zoomScalePageLayoutView="0" workbookViewId="0" topLeftCell="A1">
      <selection activeCell="D13" sqref="D13"/>
    </sheetView>
  </sheetViews>
  <sheetFormatPr defaultColWidth="9.140625" defaultRowHeight="12.75"/>
  <cols>
    <col min="1" max="1" width="5.8515625" style="2" customWidth="1"/>
    <col min="2" max="2" width="24.421875" style="2" customWidth="1"/>
    <col min="3" max="3" width="5.8515625" style="2" customWidth="1"/>
    <col min="4" max="4" width="3.57421875" style="2" customWidth="1"/>
    <col min="5" max="5" width="13.421875" style="2" bestFit="1" customWidth="1"/>
    <col min="6" max="6" width="13.28125" style="2" bestFit="1" customWidth="1"/>
    <col min="7" max="7" width="2.8515625" style="2" customWidth="1"/>
    <col min="8" max="8" width="13.7109375" style="2" bestFit="1" customWidth="1"/>
    <col min="9" max="9" width="13.57421875" style="2" bestFit="1" customWidth="1"/>
    <col min="10" max="16384" width="9.140625" style="2" customWidth="1"/>
  </cols>
  <sheetData>
    <row r="2" spans="1:2" ht="18">
      <c r="A2" s="30" t="s">
        <v>539</v>
      </c>
      <c r="B2" s="3"/>
    </row>
    <row r="4" spans="5:9" ht="12.75">
      <c r="E4" s="4" t="s">
        <v>74</v>
      </c>
      <c r="F4" s="4"/>
      <c r="G4" s="4"/>
      <c r="H4" s="4" t="s">
        <v>75</v>
      </c>
      <c r="I4" s="1"/>
    </row>
    <row r="5" spans="3:9" ht="12.75">
      <c r="C5" s="2" t="s">
        <v>150</v>
      </c>
      <c r="E5" s="1" t="s">
        <v>64</v>
      </c>
      <c r="F5" s="1" t="s">
        <v>65</v>
      </c>
      <c r="G5" s="1"/>
      <c r="H5" s="1" t="s">
        <v>64</v>
      </c>
      <c r="I5" s="1" t="s">
        <v>65</v>
      </c>
    </row>
    <row r="6" spans="5:9" ht="12.75">
      <c r="E6" s="45" t="s">
        <v>66</v>
      </c>
      <c r="F6" s="73" t="s">
        <v>66</v>
      </c>
      <c r="G6" s="1"/>
      <c r="H6" s="45" t="s">
        <v>66</v>
      </c>
      <c r="I6" s="73" t="s">
        <v>66</v>
      </c>
    </row>
    <row r="7" spans="2:9" ht="25.5">
      <c r="B7" s="57" t="s">
        <v>449</v>
      </c>
      <c r="E7" s="1"/>
      <c r="F7" s="1"/>
      <c r="G7" s="1"/>
      <c r="H7" s="1"/>
      <c r="I7" s="1"/>
    </row>
    <row r="8" ht="12.75">
      <c r="B8" s="1"/>
    </row>
    <row r="9" spans="2:9" ht="38.25">
      <c r="B9" s="8" t="s">
        <v>450</v>
      </c>
      <c r="C9" s="2">
        <v>26</v>
      </c>
      <c r="E9" s="22">
        <f>'Cash flow notes'!D17</f>
        <v>39500</v>
      </c>
      <c r="F9" s="22">
        <f>'Cash flow notes'!E17</f>
        <v>-775000</v>
      </c>
      <c r="G9" s="17"/>
      <c r="H9" s="22">
        <f>'Cash flow notes'!F17</f>
        <v>20950</v>
      </c>
      <c r="I9" s="22">
        <f>'Cash flow notes'!G17</f>
        <v>-784952</v>
      </c>
    </row>
    <row r="10" spans="2:9" ht="12.75">
      <c r="B10" s="8"/>
      <c r="E10" s="17"/>
      <c r="F10" s="17"/>
      <c r="G10" s="17"/>
      <c r="H10" s="17"/>
      <c r="I10" s="17"/>
    </row>
    <row r="11" spans="2:9" ht="25.5">
      <c r="B11" s="8" t="s">
        <v>439</v>
      </c>
      <c r="E11" s="17"/>
      <c r="F11" s="17"/>
      <c r="G11" s="17"/>
      <c r="H11" s="17"/>
      <c r="I11" s="17"/>
    </row>
    <row r="12" spans="2:9" ht="25.5">
      <c r="B12" s="7" t="s">
        <v>441</v>
      </c>
      <c r="E12" s="17">
        <f>-'Cash flow notes'!D12-'Balance Sheet Notes'!D117+'Balance Sheet Notes'!E117</f>
        <v>132800</v>
      </c>
      <c r="F12" s="17">
        <f>-'Cash flow notes'!E12</f>
        <v>169100</v>
      </c>
      <c r="G12" s="17"/>
      <c r="H12" s="17">
        <f>-'Cash flow notes'!F12-'Balance Sheet Notes'!D117+'Balance Sheet Notes'!E117</f>
        <v>141850</v>
      </c>
      <c r="I12" s="17">
        <f>-'Cash flow notes'!G12</f>
        <v>178550</v>
      </c>
    </row>
    <row r="13" spans="2:9" ht="38.25">
      <c r="B13" s="7" t="s">
        <v>442</v>
      </c>
      <c r="E13" s="17">
        <v>5000</v>
      </c>
      <c r="F13" s="17">
        <v>0</v>
      </c>
      <c r="G13" s="17"/>
      <c r="H13" s="17">
        <v>5000</v>
      </c>
      <c r="I13" s="17">
        <v>0</v>
      </c>
    </row>
    <row r="14" spans="2:9" s="3" customFormat="1" ht="25.5">
      <c r="B14" s="7" t="s">
        <v>443</v>
      </c>
      <c r="E14" s="54">
        <f>-'Balance Sheet Notes'!H12</f>
        <v>-8000</v>
      </c>
      <c r="F14" s="54">
        <v>0</v>
      </c>
      <c r="G14" s="54"/>
      <c r="H14" s="54">
        <f>-'Balance Sheet Notes'!H34</f>
        <v>-8000</v>
      </c>
      <c r="I14" s="54">
        <v>0</v>
      </c>
    </row>
    <row r="15" spans="2:9" ht="25.5">
      <c r="B15" s="7" t="s">
        <v>444</v>
      </c>
      <c r="E15" s="17">
        <f>-'Balance Sheet Notes'!D59-'Balance Sheet Notes'!D60+SOFA!D48</f>
        <v>45000</v>
      </c>
      <c r="F15" s="17">
        <v>126000</v>
      </c>
      <c r="G15" s="17"/>
      <c r="H15" s="17">
        <f>-'Balance Sheet Notes'!F59-'Balance Sheet Notes'!F60+SOFA!G48</f>
        <v>45000</v>
      </c>
      <c r="I15" s="17">
        <f>F15</f>
        <v>126000</v>
      </c>
    </row>
    <row r="16" spans="2:9" s="3" customFormat="1" ht="12.75">
      <c r="B16" s="7" t="s">
        <v>445</v>
      </c>
      <c r="E16" s="54">
        <f>-'Balance Sheet Notes'!D58</f>
        <v>-50000</v>
      </c>
      <c r="F16" s="54">
        <v>-45100</v>
      </c>
      <c r="G16" s="54"/>
      <c r="H16" s="54">
        <f>-'Balance Sheet Notes'!F58</f>
        <v>-50000</v>
      </c>
      <c r="I16" s="54">
        <f>F16</f>
        <v>-45100</v>
      </c>
    </row>
    <row r="17" spans="2:9" ht="39" thickBot="1">
      <c r="B17" s="8" t="s">
        <v>451</v>
      </c>
      <c r="E17" s="9">
        <f>SUM(E12:E16)</f>
        <v>124800</v>
      </c>
      <c r="F17" s="9">
        <f>SUM(F12:F16)</f>
        <v>250000</v>
      </c>
      <c r="G17" s="24"/>
      <c r="H17" s="9">
        <f>SUM(H12:H16)</f>
        <v>133850</v>
      </c>
      <c r="I17" s="9">
        <f>SUM(I12:I16)</f>
        <v>259450</v>
      </c>
    </row>
    <row r="18" spans="2:9" ht="13.5" thickTop="1">
      <c r="B18" s="8"/>
      <c r="E18" s="17"/>
      <c r="F18" s="17"/>
      <c r="G18" s="17"/>
      <c r="H18" s="17"/>
      <c r="I18" s="17"/>
    </row>
    <row r="19" spans="2:9" ht="25.5">
      <c r="B19" s="8" t="s">
        <v>440</v>
      </c>
      <c r="E19" s="17"/>
      <c r="F19" s="17"/>
      <c r="G19" s="17"/>
      <c r="H19" s="17"/>
      <c r="I19" s="17"/>
    </row>
    <row r="20" spans="2:9" ht="12.75">
      <c r="B20" s="7" t="s">
        <v>446</v>
      </c>
      <c r="E20" s="17">
        <v>0</v>
      </c>
      <c r="F20" s="17">
        <v>0</v>
      </c>
      <c r="G20" s="17"/>
      <c r="H20" s="17">
        <v>0</v>
      </c>
      <c r="I20" s="17">
        <v>0</v>
      </c>
    </row>
    <row r="21" spans="2:9" ht="25.5">
      <c r="B21" s="7" t="s">
        <v>447</v>
      </c>
      <c r="E21" s="17">
        <v>0</v>
      </c>
      <c r="F21" s="17">
        <v>0</v>
      </c>
      <c r="G21" s="17"/>
      <c r="H21" s="17">
        <v>0</v>
      </c>
      <c r="I21" s="17">
        <v>0</v>
      </c>
    </row>
    <row r="22" spans="2:9" s="3" customFormat="1" ht="12.75">
      <c r="B22" s="7" t="s">
        <v>448</v>
      </c>
      <c r="E22" s="54">
        <v>0</v>
      </c>
      <c r="F22" s="54">
        <v>0</v>
      </c>
      <c r="G22" s="54"/>
      <c r="H22" s="54">
        <v>0</v>
      </c>
      <c r="I22" s="54">
        <v>0</v>
      </c>
    </row>
    <row r="23" spans="2:9" s="3" customFormat="1" ht="39" thickBot="1">
      <c r="B23" s="8" t="s">
        <v>452</v>
      </c>
      <c r="E23" s="9">
        <f>SUM(E20:E22)</f>
        <v>0</v>
      </c>
      <c r="F23" s="9">
        <f>SUM(F20:F22)</f>
        <v>0</v>
      </c>
      <c r="G23" s="24"/>
      <c r="H23" s="9">
        <f>SUM(H20:H22)</f>
        <v>0</v>
      </c>
      <c r="I23" s="9">
        <f>SUM(I20:I22)</f>
        <v>0</v>
      </c>
    </row>
    <row r="24" spans="2:9" s="3" customFormat="1" ht="13.5" thickTop="1">
      <c r="B24" s="8"/>
      <c r="E24" s="24"/>
      <c r="F24" s="24"/>
      <c r="G24" s="24"/>
      <c r="H24" s="24"/>
      <c r="I24" s="24"/>
    </row>
    <row r="25" spans="2:9" ht="39" thickBot="1">
      <c r="B25" s="8" t="s">
        <v>453</v>
      </c>
      <c r="E25" s="65">
        <f>E9+E17-E23</f>
        <v>164300</v>
      </c>
      <c r="F25" s="65">
        <f>F9+F17-F23</f>
        <v>-525000</v>
      </c>
      <c r="G25" s="65"/>
      <c r="H25" s="65">
        <f>H9+H17-H23</f>
        <v>154800</v>
      </c>
      <c r="I25" s="65">
        <f>I9+I17-I23</f>
        <v>-525502</v>
      </c>
    </row>
    <row r="26" spans="2:9" ht="13.5" thickTop="1">
      <c r="B26" s="7"/>
      <c r="E26" s="17"/>
      <c r="F26" s="17"/>
      <c r="G26" s="17"/>
      <c r="H26" s="17"/>
      <c r="I26" s="17"/>
    </row>
    <row r="27" spans="2:9" ht="12.75">
      <c r="B27" s="7"/>
      <c r="E27" s="17"/>
      <c r="F27" s="17"/>
      <c r="G27" s="17"/>
      <c r="H27" s="17"/>
      <c r="I27" s="17"/>
    </row>
    <row r="28" spans="2:9" ht="38.25">
      <c r="B28" s="7" t="s">
        <v>454</v>
      </c>
      <c r="E28" s="17">
        <f>'Cash flow notes'!E26</f>
        <v>575000</v>
      </c>
      <c r="F28" s="17">
        <v>1100000</v>
      </c>
      <c r="G28" s="17"/>
      <c r="H28" s="17">
        <f>'Cash flow notes'!G26</f>
        <v>749498</v>
      </c>
      <c r="I28" s="17">
        <v>1275000</v>
      </c>
    </row>
    <row r="29" spans="2:9" s="3" customFormat="1" ht="12.75">
      <c r="B29" s="8"/>
      <c r="E29" s="24"/>
      <c r="F29" s="24"/>
      <c r="G29" s="24"/>
      <c r="H29" s="24"/>
      <c r="I29" s="24"/>
    </row>
    <row r="30" spans="2:9" ht="38.25">
      <c r="B30" s="7" t="s">
        <v>455</v>
      </c>
      <c r="E30" s="17">
        <f>E32-E28</f>
        <v>164300</v>
      </c>
      <c r="F30" s="17">
        <f>F32-F28</f>
        <v>-525000</v>
      </c>
      <c r="G30" s="17"/>
      <c r="H30" s="17">
        <f>H32-H28</f>
        <v>154800</v>
      </c>
      <c r="I30" s="17">
        <f>I32-I28</f>
        <v>-525502</v>
      </c>
    </row>
    <row r="31" spans="2:9" s="3" customFormat="1" ht="12.75">
      <c r="B31" s="8"/>
      <c r="E31" s="24"/>
      <c r="F31" s="24"/>
      <c r="G31" s="24"/>
      <c r="H31" s="24"/>
      <c r="I31" s="24"/>
    </row>
    <row r="32" spans="2:9" ht="39" thickBot="1">
      <c r="B32" s="8" t="s">
        <v>456</v>
      </c>
      <c r="C32" s="2">
        <v>27</v>
      </c>
      <c r="E32" s="9">
        <f>'Cash flow notes'!D26</f>
        <v>739300</v>
      </c>
      <c r="F32" s="9">
        <f>'Cash flow notes'!E26</f>
        <v>575000</v>
      </c>
      <c r="G32" s="24"/>
      <c r="H32" s="9">
        <f>'Cash flow notes'!F26</f>
        <v>904298</v>
      </c>
      <c r="I32" s="9">
        <f>'Cash flow notes'!G26</f>
        <v>749498</v>
      </c>
    </row>
    <row r="33" spans="2:9" ht="13.5" thickTop="1">
      <c r="B33" s="7"/>
      <c r="E33" s="17"/>
      <c r="F33" s="17"/>
      <c r="G33" s="17"/>
      <c r="H33" s="17"/>
      <c r="I33" s="17"/>
    </row>
    <row r="34" ht="12.75">
      <c r="B34" s="7"/>
    </row>
    <row r="36" ht="12.75">
      <c r="A36" s="2" t="s">
        <v>172</v>
      </c>
    </row>
  </sheetData>
  <sheetProtection password="D3F2" sheet="1" formatCells="0" formatColumns="0" formatRows="0" insertColumns="0" insertRows="0" insertHyperlinks="0" deleteColumns="0" deleteRows="0" sort="0" autoFilter="0" pivotTables="0"/>
  <printOptions/>
  <pageMargins left="0.7" right="0.7" top="0.75" bottom="0.75" header="0.3" footer="0.3"/>
  <pageSetup fitToHeight="0" fitToWidth="1" horizontalDpi="600" verticalDpi="600" orientation="portrait" paperSize="9" scale="92" r:id="rId1"/>
</worksheet>
</file>

<file path=xl/worksheets/sheet5.xml><?xml version="1.0" encoding="utf-8"?>
<worksheet xmlns="http://schemas.openxmlformats.org/spreadsheetml/2006/main" xmlns:r="http://schemas.openxmlformats.org/officeDocument/2006/relationships">
  <sheetPr>
    <pageSetUpPr fitToPage="1"/>
  </sheetPr>
  <dimension ref="A2:G262"/>
  <sheetViews>
    <sheetView zoomScalePageLayoutView="0" workbookViewId="0" topLeftCell="A126">
      <selection activeCell="F156" sqref="F156"/>
    </sheetView>
  </sheetViews>
  <sheetFormatPr defaultColWidth="9.140625" defaultRowHeight="12.75"/>
  <cols>
    <col min="1" max="1" width="3.140625" style="2" customWidth="1"/>
    <col min="2" max="2" width="25.28125" style="2" customWidth="1"/>
    <col min="3" max="3" width="3.7109375" style="2" customWidth="1"/>
    <col min="4" max="4" width="12.57421875" style="2" customWidth="1"/>
    <col min="5" max="5" width="13.7109375" style="2" customWidth="1"/>
    <col min="6" max="6" width="9.140625" style="2" customWidth="1"/>
    <col min="7" max="7" width="11.57421875" style="2" customWidth="1"/>
    <col min="8" max="8" width="9.7109375" style="2" customWidth="1"/>
    <col min="9" max="9" width="2.8515625" style="2" customWidth="1"/>
    <col min="10" max="10" width="13.00390625" style="2" customWidth="1"/>
    <col min="11" max="11" width="4.28125" style="2" customWidth="1"/>
    <col min="12" max="12" width="13.7109375" style="2" customWidth="1"/>
    <col min="13" max="13" width="9.140625" style="2" customWidth="1"/>
    <col min="14" max="14" width="9.140625" style="32" customWidth="1"/>
    <col min="15" max="15" width="10.28125" style="32" bestFit="1" customWidth="1"/>
    <col min="16" max="16384" width="9.140625" style="2" customWidth="1"/>
  </cols>
  <sheetData>
    <row r="2" ht="12.75">
      <c r="B2" s="3" t="s">
        <v>151</v>
      </c>
    </row>
    <row r="4" spans="1:5" ht="12.75">
      <c r="A4" s="3">
        <v>1</v>
      </c>
      <c r="B4" s="4" t="s">
        <v>219</v>
      </c>
      <c r="E4" s="3"/>
    </row>
    <row r="5" spans="2:7" ht="12.75">
      <c r="B5" s="1"/>
      <c r="E5" s="3"/>
      <c r="G5" s="5"/>
    </row>
    <row r="6" ht="12.75">
      <c r="B6" s="2" t="s">
        <v>220</v>
      </c>
    </row>
    <row r="7" ht="12.75">
      <c r="B7" s="2" t="s">
        <v>221</v>
      </c>
    </row>
    <row r="9" ht="12.75">
      <c r="B9" s="20" t="s">
        <v>222</v>
      </c>
    </row>
    <row r="10" ht="12.75">
      <c r="B10" s="2" t="s">
        <v>223</v>
      </c>
    </row>
    <row r="11" ht="12.75">
      <c r="B11" s="2" t="s">
        <v>224</v>
      </c>
    </row>
    <row r="12" ht="12.75">
      <c r="B12" s="2" t="s">
        <v>225</v>
      </c>
    </row>
    <row r="13" ht="12.75">
      <c r="B13" s="2" t="s">
        <v>226</v>
      </c>
    </row>
    <row r="14" ht="12.75">
      <c r="B14" s="2" t="s">
        <v>227</v>
      </c>
    </row>
    <row r="15" ht="12.75">
      <c r="B15" s="2" t="s">
        <v>228</v>
      </c>
    </row>
    <row r="17" ht="12.75">
      <c r="B17" s="31" t="s">
        <v>531</v>
      </c>
    </row>
    <row r="18" ht="12.75">
      <c r="B18" s="2" t="s">
        <v>229</v>
      </c>
    </row>
    <row r="19" ht="12.75">
      <c r="B19" s="2" t="s">
        <v>230</v>
      </c>
    </row>
    <row r="21" ht="12.75">
      <c r="B21" s="20" t="s">
        <v>329</v>
      </c>
    </row>
    <row r="22" ht="12.75">
      <c r="B22" s="2" t="s">
        <v>540</v>
      </c>
    </row>
    <row r="23" ht="12.75">
      <c r="B23" s="2" t="s">
        <v>326</v>
      </c>
    </row>
    <row r="24" ht="12.75">
      <c r="B24" s="2" t="s">
        <v>327</v>
      </c>
    </row>
    <row r="26" ht="12.75">
      <c r="B26" s="2" t="s">
        <v>328</v>
      </c>
    </row>
    <row r="28" ht="12.75">
      <c r="B28" s="20" t="s">
        <v>356</v>
      </c>
    </row>
    <row r="29" ht="12.75">
      <c r="B29" s="31" t="s">
        <v>320</v>
      </c>
    </row>
    <row r="30" ht="12.75">
      <c r="B30" s="2" t="s">
        <v>318</v>
      </c>
    </row>
    <row r="31" ht="12.75">
      <c r="B31" s="2" t="s">
        <v>319</v>
      </c>
    </row>
    <row r="33" ht="12.75">
      <c r="B33" s="20" t="s">
        <v>357</v>
      </c>
    </row>
    <row r="34" ht="12.75">
      <c r="B34" s="31" t="s">
        <v>240</v>
      </c>
    </row>
    <row r="35" ht="12.75">
      <c r="B35" s="2" t="s">
        <v>239</v>
      </c>
    </row>
    <row r="36" ht="12.75">
      <c r="B36" s="2" t="s">
        <v>241</v>
      </c>
    </row>
    <row r="37" ht="12.75">
      <c r="B37" s="2" t="s">
        <v>242</v>
      </c>
    </row>
    <row r="38" ht="12.75">
      <c r="B38" s="2" t="s">
        <v>243</v>
      </c>
    </row>
    <row r="39" ht="12.75">
      <c r="B39" s="2" t="s">
        <v>244</v>
      </c>
    </row>
    <row r="41" ht="12.75">
      <c r="B41" s="20" t="s">
        <v>358</v>
      </c>
    </row>
    <row r="42" ht="12.75">
      <c r="B42" s="2" t="s">
        <v>231</v>
      </c>
    </row>
    <row r="43" ht="12.75">
      <c r="B43" s="31" t="s">
        <v>245</v>
      </c>
    </row>
    <row r="44" ht="12.75">
      <c r="B44" s="31" t="s">
        <v>249</v>
      </c>
    </row>
    <row r="45" ht="12.75">
      <c r="B45" s="2" t="s">
        <v>232</v>
      </c>
    </row>
    <row r="47" ht="12.75">
      <c r="B47" s="20" t="s">
        <v>359</v>
      </c>
    </row>
    <row r="48" ht="12.75">
      <c r="B48" s="2" t="s">
        <v>247</v>
      </c>
    </row>
    <row r="49" ht="12.75">
      <c r="B49" s="2" t="s">
        <v>248</v>
      </c>
    </row>
    <row r="50" ht="12.75">
      <c r="B50" s="31" t="s">
        <v>330</v>
      </c>
    </row>
    <row r="51" ht="12.75">
      <c r="B51" s="31" t="s">
        <v>331</v>
      </c>
    </row>
    <row r="52" ht="12.75">
      <c r="B52" s="31" t="s">
        <v>541</v>
      </c>
    </row>
    <row r="53" ht="12.75">
      <c r="B53" s="31" t="s">
        <v>534</v>
      </c>
    </row>
    <row r="54" ht="12.75">
      <c r="B54" s="31" t="s">
        <v>533</v>
      </c>
    </row>
    <row r="55" ht="12.75">
      <c r="B55" s="2" t="s">
        <v>332</v>
      </c>
    </row>
    <row r="57" ht="12.75">
      <c r="B57" s="20" t="s">
        <v>360</v>
      </c>
    </row>
    <row r="58" ht="12.75">
      <c r="B58" s="2" t="s">
        <v>233</v>
      </c>
    </row>
    <row r="59" ht="12.75">
      <c r="B59" s="2" t="s">
        <v>234</v>
      </c>
    </row>
    <row r="60" ht="12.75">
      <c r="B60" s="2" t="s">
        <v>235</v>
      </c>
    </row>
    <row r="62" ht="12.75">
      <c r="B62" s="2" t="s">
        <v>260</v>
      </c>
    </row>
    <row r="63" ht="12.75">
      <c r="B63" s="2" t="s">
        <v>262</v>
      </c>
    </row>
    <row r="65" ht="12.75">
      <c r="B65" s="31" t="s">
        <v>333</v>
      </c>
    </row>
    <row r="66" ht="12.75">
      <c r="B66" s="31" t="s">
        <v>334</v>
      </c>
    </row>
    <row r="67" ht="12.75">
      <c r="B67" s="31" t="s">
        <v>511</v>
      </c>
    </row>
    <row r="68" ht="12.75">
      <c r="B68" s="31" t="s">
        <v>335</v>
      </c>
    </row>
    <row r="69" ht="12.75">
      <c r="B69" s="31" t="s">
        <v>336</v>
      </c>
    </row>
    <row r="70" ht="12.75">
      <c r="B70" s="31" t="s">
        <v>337</v>
      </c>
    </row>
    <row r="72" ht="12.75">
      <c r="B72" s="2" t="s">
        <v>264</v>
      </c>
    </row>
    <row r="73" ht="12.75">
      <c r="B73" s="31" t="s">
        <v>263</v>
      </c>
    </row>
    <row r="74" ht="12.75">
      <c r="B74" s="2" t="s">
        <v>236</v>
      </c>
    </row>
    <row r="75" ht="12.75">
      <c r="B75" s="2" t="s">
        <v>237</v>
      </c>
    </row>
    <row r="77" ht="12.75">
      <c r="B77" s="31" t="s">
        <v>253</v>
      </c>
    </row>
    <row r="78" ht="12.75">
      <c r="B78" s="31" t="s">
        <v>250</v>
      </c>
    </row>
    <row r="79" ht="12.75">
      <c r="B79" s="31" t="s">
        <v>252</v>
      </c>
    </row>
    <row r="80" ht="12.75">
      <c r="B80" s="31" t="s">
        <v>251</v>
      </c>
    </row>
    <row r="81" ht="12.75">
      <c r="B81" s="2" t="s">
        <v>238</v>
      </c>
    </row>
    <row r="82" ht="12.75">
      <c r="B82" s="31" t="s">
        <v>254</v>
      </c>
    </row>
    <row r="83" ht="12.75">
      <c r="B83" s="31" t="s">
        <v>261</v>
      </c>
    </row>
    <row r="84" ht="12.75">
      <c r="B84" s="31" t="s">
        <v>378</v>
      </c>
    </row>
    <row r="85" ht="12.75">
      <c r="B85" s="31" t="s">
        <v>542</v>
      </c>
    </row>
    <row r="86" ht="12.75">
      <c r="B86" s="31" t="s">
        <v>379</v>
      </c>
    </row>
    <row r="87" ht="12.75">
      <c r="B87" s="31" t="s">
        <v>543</v>
      </c>
    </row>
    <row r="88" ht="12.75">
      <c r="B88" s="31"/>
    </row>
    <row r="89" ht="12.75">
      <c r="B89" s="31" t="s">
        <v>246</v>
      </c>
    </row>
    <row r="90" ht="12.75">
      <c r="B90" s="31" t="s">
        <v>255</v>
      </c>
    </row>
    <row r="92" ht="12.75">
      <c r="B92" s="31" t="s">
        <v>258</v>
      </c>
    </row>
    <row r="93" ht="12.75">
      <c r="B93" s="31" t="s">
        <v>259</v>
      </c>
    </row>
    <row r="94" ht="12.75">
      <c r="B94" s="31" t="s">
        <v>256</v>
      </c>
    </row>
    <row r="95" ht="12.75">
      <c r="B95" s="2" t="s">
        <v>257</v>
      </c>
    </row>
    <row r="96" ht="12.75">
      <c r="B96" s="2" t="s">
        <v>409</v>
      </c>
    </row>
    <row r="97" ht="12.75">
      <c r="B97" s="2" t="s">
        <v>410</v>
      </c>
    </row>
    <row r="99" ht="12.75">
      <c r="B99" s="31" t="s">
        <v>381</v>
      </c>
    </row>
    <row r="100" ht="12.75">
      <c r="B100" s="2" t="s">
        <v>382</v>
      </c>
    </row>
    <row r="101" ht="12.75">
      <c r="B101" s="2" t="s">
        <v>380</v>
      </c>
    </row>
    <row r="103" ht="12.75">
      <c r="B103" s="20" t="s">
        <v>361</v>
      </c>
    </row>
    <row r="104" ht="12.75">
      <c r="B104" s="31" t="s">
        <v>512</v>
      </c>
    </row>
    <row r="105" ht="12.75">
      <c r="B105" s="31" t="s">
        <v>377</v>
      </c>
    </row>
    <row r="106" ht="12.75">
      <c r="B106" s="31" t="s">
        <v>514</v>
      </c>
    </row>
    <row r="107" ht="12.75">
      <c r="B107" s="20"/>
    </row>
    <row r="108" ht="12.75">
      <c r="B108" s="2" t="s">
        <v>265</v>
      </c>
    </row>
    <row r="109" ht="12.75">
      <c r="B109" s="2" t="s">
        <v>266</v>
      </c>
    </row>
    <row r="110" ht="12.75">
      <c r="B110" s="2" t="s">
        <v>267</v>
      </c>
    </row>
    <row r="111" ht="12.75">
      <c r="B111" s="2" t="s">
        <v>513</v>
      </c>
    </row>
    <row r="112" ht="12.75">
      <c r="B112" s="31" t="s">
        <v>272</v>
      </c>
    </row>
    <row r="114" ht="12.75">
      <c r="B114" s="20" t="s">
        <v>362</v>
      </c>
    </row>
    <row r="115" ht="12.75">
      <c r="B115" s="31" t="s">
        <v>268</v>
      </c>
    </row>
    <row r="116" ht="12.75">
      <c r="B116" s="31" t="s">
        <v>269</v>
      </c>
    </row>
    <row r="117" ht="12.75">
      <c r="B117" s="31" t="s">
        <v>270</v>
      </c>
    </row>
    <row r="118" ht="12.75">
      <c r="B118" s="31"/>
    </row>
    <row r="119" ht="12.75">
      <c r="B119" s="31" t="s">
        <v>271</v>
      </c>
    </row>
    <row r="120" ht="12.75">
      <c r="B120" s="31" t="s">
        <v>383</v>
      </c>
    </row>
    <row r="121" ht="12.75">
      <c r="B121" s="31" t="s">
        <v>385</v>
      </c>
    </row>
    <row r="122" ht="12.75">
      <c r="B122" s="31" t="s">
        <v>384</v>
      </c>
    </row>
    <row r="123" ht="12.75">
      <c r="B123" s="31"/>
    </row>
    <row r="124" ht="12.75">
      <c r="B124" s="31" t="s">
        <v>273</v>
      </c>
    </row>
    <row r="125" ht="12.75">
      <c r="B125" s="31" t="s">
        <v>274</v>
      </c>
    </row>
    <row r="126" ht="12.75">
      <c r="B126" s="31" t="s">
        <v>276</v>
      </c>
    </row>
    <row r="128" ht="12.75">
      <c r="B128" s="31" t="s">
        <v>275</v>
      </c>
    </row>
    <row r="129" ht="12.75">
      <c r="B129" s="31" t="s">
        <v>277</v>
      </c>
    </row>
    <row r="130" ht="12.75">
      <c r="B130" s="31" t="s">
        <v>279</v>
      </c>
    </row>
    <row r="131" ht="12.75">
      <c r="B131" s="31" t="s">
        <v>278</v>
      </c>
    </row>
    <row r="133" ht="12.75">
      <c r="B133" s="31" t="s">
        <v>515</v>
      </c>
    </row>
    <row r="134" ht="12.75">
      <c r="B134" s="31" t="s">
        <v>516</v>
      </c>
    </row>
    <row r="135" ht="12.75">
      <c r="B135" s="31" t="s">
        <v>517</v>
      </c>
    </row>
    <row r="136" ht="12.75">
      <c r="B136" s="31" t="s">
        <v>518</v>
      </c>
    </row>
    <row r="138" ht="12.75">
      <c r="B138" s="20" t="s">
        <v>363</v>
      </c>
    </row>
    <row r="139" ht="12.75">
      <c r="B139" s="31" t="s">
        <v>280</v>
      </c>
    </row>
    <row r="140" ht="12.75">
      <c r="B140" s="31" t="s">
        <v>532</v>
      </c>
    </row>
    <row r="141" ht="12.75">
      <c r="B141" s="31" t="s">
        <v>282</v>
      </c>
    </row>
    <row r="143" ht="12.75">
      <c r="B143" s="20" t="s">
        <v>364</v>
      </c>
    </row>
    <row r="144" ht="12.75">
      <c r="B144" s="31" t="s">
        <v>281</v>
      </c>
    </row>
    <row r="145" ht="12.75">
      <c r="B145" s="31" t="s">
        <v>283</v>
      </c>
    </row>
    <row r="147" ht="12.75">
      <c r="B147" s="31" t="s">
        <v>422</v>
      </c>
    </row>
    <row r="148" spans="1:7" s="50" customFormat="1" ht="12.75">
      <c r="A148" s="2"/>
      <c r="B148" s="31" t="s">
        <v>565</v>
      </c>
      <c r="C148" s="2"/>
      <c r="D148" s="2"/>
      <c r="E148" s="2"/>
      <c r="F148" s="2"/>
      <c r="G148" s="2"/>
    </row>
    <row r="149" spans="1:7" ht="12.75">
      <c r="A149" s="50"/>
      <c r="B149" s="51" t="s">
        <v>108</v>
      </c>
      <c r="C149" s="50"/>
      <c r="D149" s="55" t="s">
        <v>289</v>
      </c>
      <c r="E149" s="50"/>
      <c r="F149" s="50"/>
      <c r="G149" s="50"/>
    </row>
    <row r="150" spans="2:4" ht="12.75">
      <c r="B150" s="31" t="s">
        <v>284</v>
      </c>
      <c r="D150" s="48" t="s">
        <v>286</v>
      </c>
    </row>
    <row r="151" spans="2:4" ht="12.75">
      <c r="B151" s="31" t="s">
        <v>53</v>
      </c>
      <c r="D151" s="48" t="s">
        <v>287</v>
      </c>
    </row>
    <row r="152" spans="2:4" ht="12.75">
      <c r="B152" s="31" t="s">
        <v>285</v>
      </c>
      <c r="D152" s="48" t="s">
        <v>288</v>
      </c>
    </row>
    <row r="154" ht="12.75">
      <c r="B154" s="31" t="s">
        <v>544</v>
      </c>
    </row>
    <row r="155" ht="12.75">
      <c r="B155" s="31" t="s">
        <v>545</v>
      </c>
    </row>
    <row r="156" ht="12.75">
      <c r="B156" s="31" t="s">
        <v>303</v>
      </c>
    </row>
    <row r="157" ht="12.75">
      <c r="B157" s="31"/>
    </row>
    <row r="158" ht="12.75">
      <c r="B158" s="20" t="s">
        <v>365</v>
      </c>
    </row>
    <row r="159" ht="12.75">
      <c r="B159" s="31" t="s">
        <v>350</v>
      </c>
    </row>
    <row r="160" ht="12.75">
      <c r="B160" s="31" t="s">
        <v>351</v>
      </c>
    </row>
    <row r="161" ht="12.75">
      <c r="B161" s="31" t="s">
        <v>352</v>
      </c>
    </row>
    <row r="162" ht="12.75">
      <c r="B162" s="31" t="s">
        <v>353</v>
      </c>
    </row>
    <row r="163" ht="12.75">
      <c r="B163" s="31"/>
    </row>
    <row r="164" ht="12.75">
      <c r="B164" s="31" t="s">
        <v>349</v>
      </c>
    </row>
    <row r="165" ht="12.75">
      <c r="B165" s="31" t="s">
        <v>354</v>
      </c>
    </row>
    <row r="166" ht="12.75">
      <c r="B166" s="31"/>
    </row>
    <row r="167" spans="1:7" s="50" customFormat="1" ht="12.75">
      <c r="A167" s="2"/>
      <c r="B167" s="31" t="s">
        <v>355</v>
      </c>
      <c r="C167" s="2"/>
      <c r="D167" s="2"/>
      <c r="E167" s="2"/>
      <c r="F167" s="2"/>
      <c r="G167" s="2"/>
    </row>
    <row r="168" spans="1:7" ht="12.75">
      <c r="A168" s="50"/>
      <c r="B168" s="51" t="s">
        <v>546</v>
      </c>
      <c r="C168" s="50"/>
      <c r="D168" s="50"/>
      <c r="E168" s="50"/>
      <c r="F168" s="50"/>
      <c r="G168" s="50"/>
    </row>
    <row r="170" ht="12.75">
      <c r="B170" s="20" t="s">
        <v>366</v>
      </c>
    </row>
    <row r="171" ht="12.75">
      <c r="B171" s="2" t="s">
        <v>290</v>
      </c>
    </row>
    <row r="172" ht="12.75">
      <c r="B172" s="2" t="s">
        <v>291</v>
      </c>
    </row>
    <row r="173" ht="12.75">
      <c r="B173" s="31" t="s">
        <v>304</v>
      </c>
    </row>
    <row r="174" ht="12.75">
      <c r="B174" s="31" t="s">
        <v>547</v>
      </c>
    </row>
    <row r="175" ht="12.75">
      <c r="B175" s="31" t="s">
        <v>296</v>
      </c>
    </row>
    <row r="177" ht="12.75">
      <c r="B177" s="31" t="s">
        <v>295</v>
      </c>
    </row>
    <row r="178" ht="12.75">
      <c r="B178" s="31"/>
    </row>
    <row r="179" ht="12.75">
      <c r="B179" s="2" t="s">
        <v>297</v>
      </c>
    </row>
    <row r="180" ht="12.75">
      <c r="B180" s="2" t="s">
        <v>298</v>
      </c>
    </row>
    <row r="181" ht="12.75">
      <c r="B181" s="2" t="s">
        <v>299</v>
      </c>
    </row>
    <row r="182" ht="12.75">
      <c r="B182" s="2" t="s">
        <v>300</v>
      </c>
    </row>
    <row r="183" ht="12.75">
      <c r="B183" s="2" t="s">
        <v>301</v>
      </c>
    </row>
    <row r="184" ht="12.75">
      <c r="B184" s="2" t="s">
        <v>302</v>
      </c>
    </row>
    <row r="186" ht="12.75">
      <c r="B186" s="2" t="s">
        <v>292</v>
      </c>
    </row>
    <row r="187" ht="12.75">
      <c r="B187" s="2" t="s">
        <v>293</v>
      </c>
    </row>
    <row r="188" ht="12.75">
      <c r="B188" s="2" t="s">
        <v>294</v>
      </c>
    </row>
    <row r="190" ht="12.75">
      <c r="B190" s="20" t="s">
        <v>367</v>
      </c>
    </row>
    <row r="191" ht="12.75">
      <c r="B191" s="31" t="s">
        <v>315</v>
      </c>
    </row>
    <row r="192" ht="12.75">
      <c r="B192" s="31" t="s">
        <v>306</v>
      </c>
    </row>
    <row r="193" ht="12.75">
      <c r="B193" s="31" t="s">
        <v>305</v>
      </c>
    </row>
    <row r="194" ht="12.75">
      <c r="B194" s="31" t="s">
        <v>307</v>
      </c>
    </row>
    <row r="195" ht="12.75">
      <c r="B195" s="31" t="s">
        <v>316</v>
      </c>
    </row>
    <row r="197" ht="12.75">
      <c r="B197" s="20" t="s">
        <v>368</v>
      </c>
    </row>
    <row r="198" ht="12.75">
      <c r="B198" s="2" t="s">
        <v>308</v>
      </c>
    </row>
    <row r="199" ht="12.75">
      <c r="B199" s="2" t="s">
        <v>309</v>
      </c>
    </row>
    <row r="200" ht="12.75">
      <c r="B200" s="31" t="s">
        <v>310</v>
      </c>
    </row>
    <row r="201" ht="12.75">
      <c r="B201" s="31" t="s">
        <v>311</v>
      </c>
    </row>
    <row r="202" ht="12.75">
      <c r="B202" s="31"/>
    </row>
    <row r="203" ht="12.75">
      <c r="B203" s="20" t="s">
        <v>369</v>
      </c>
    </row>
    <row r="204" ht="12.75">
      <c r="B204" s="2" t="s">
        <v>312</v>
      </c>
    </row>
    <row r="205" ht="12.75">
      <c r="B205" s="2" t="s">
        <v>313</v>
      </c>
    </row>
    <row r="206" ht="12.75">
      <c r="B206" s="2" t="s">
        <v>314</v>
      </c>
    </row>
    <row r="208" ht="12.75">
      <c r="B208" s="20" t="s">
        <v>370</v>
      </c>
    </row>
    <row r="209" ht="12.75">
      <c r="B209" s="31" t="s">
        <v>386</v>
      </c>
    </row>
    <row r="210" ht="12.75">
      <c r="B210" s="31" t="s">
        <v>387</v>
      </c>
    </row>
    <row r="211" ht="12.75">
      <c r="B211" s="31" t="s">
        <v>388</v>
      </c>
    </row>
    <row r="212" ht="12.75">
      <c r="B212" s="31" t="s">
        <v>389</v>
      </c>
    </row>
    <row r="214" ht="12.75">
      <c r="B214" s="20" t="s">
        <v>371</v>
      </c>
    </row>
    <row r="215" ht="12.75">
      <c r="B215" s="31" t="s">
        <v>390</v>
      </c>
    </row>
    <row r="216" ht="12.75">
      <c r="B216" s="31" t="s">
        <v>391</v>
      </c>
    </row>
    <row r="217" ht="12.75">
      <c r="B217" s="31" t="s">
        <v>392</v>
      </c>
    </row>
    <row r="218" ht="12.75">
      <c r="B218" s="31" t="s">
        <v>393</v>
      </c>
    </row>
    <row r="219" ht="12.75">
      <c r="B219" s="31" t="s">
        <v>394</v>
      </c>
    </row>
    <row r="220" ht="12.75">
      <c r="B220" s="31"/>
    </row>
    <row r="221" ht="12.75">
      <c r="B221" s="20" t="s">
        <v>372</v>
      </c>
    </row>
    <row r="222" ht="12.75">
      <c r="B222" s="31" t="s">
        <v>395</v>
      </c>
    </row>
    <row r="223" ht="12.75">
      <c r="B223" s="2" t="s">
        <v>396</v>
      </c>
    </row>
    <row r="224" ht="12.75">
      <c r="B224" s="2" t="s">
        <v>397</v>
      </c>
    </row>
    <row r="225" ht="12.75">
      <c r="B225" s="2" t="s">
        <v>398</v>
      </c>
    </row>
    <row r="227" ht="12.75">
      <c r="B227" s="20" t="s">
        <v>373</v>
      </c>
    </row>
    <row r="228" ht="12.75">
      <c r="B228" s="31" t="s">
        <v>399</v>
      </c>
    </row>
    <row r="229" ht="12.75">
      <c r="B229" s="31" t="s">
        <v>400</v>
      </c>
    </row>
    <row r="230" ht="12.75">
      <c r="B230" s="31" t="s">
        <v>401</v>
      </c>
    </row>
    <row r="231" ht="12.75">
      <c r="B231" s="31" t="s">
        <v>402</v>
      </c>
    </row>
    <row r="232" ht="12.75">
      <c r="B232" s="31" t="s">
        <v>403</v>
      </c>
    </row>
    <row r="234" ht="12.75">
      <c r="B234" s="31" t="s">
        <v>317</v>
      </c>
    </row>
    <row r="235" ht="12.75">
      <c r="B235" s="31" t="s">
        <v>404</v>
      </c>
    </row>
    <row r="236" ht="12.75">
      <c r="B236" s="31" t="s">
        <v>405</v>
      </c>
    </row>
    <row r="237" ht="12.75">
      <c r="B237" s="31" t="s">
        <v>406</v>
      </c>
    </row>
    <row r="238" ht="12.75">
      <c r="B238" s="31" t="s">
        <v>407</v>
      </c>
    </row>
    <row r="239" ht="12.75">
      <c r="B239" s="2" t="s">
        <v>408</v>
      </c>
    </row>
    <row r="241" ht="12.75">
      <c r="B241" s="20" t="s">
        <v>374</v>
      </c>
    </row>
    <row r="242" ht="12.75">
      <c r="B242" s="2" t="s">
        <v>321</v>
      </c>
    </row>
    <row r="244" ht="12.75">
      <c r="B244" s="2" t="s">
        <v>322</v>
      </c>
    </row>
    <row r="245" ht="12.75">
      <c r="B245" s="31" t="s">
        <v>323</v>
      </c>
    </row>
    <row r="247" ht="12.75">
      <c r="B247" s="20" t="s">
        <v>375</v>
      </c>
    </row>
    <row r="248" ht="12.75">
      <c r="B248" s="2" t="s">
        <v>338</v>
      </c>
    </row>
    <row r="249" ht="12.75">
      <c r="B249" s="2" t="s">
        <v>339</v>
      </c>
    </row>
    <row r="250" ht="12.75">
      <c r="B250" s="2" t="s">
        <v>340</v>
      </c>
    </row>
    <row r="251" ht="12.75">
      <c r="B251" s="2" t="s">
        <v>341</v>
      </c>
    </row>
    <row r="252" ht="12.75">
      <c r="B252" s="2" t="s">
        <v>342</v>
      </c>
    </row>
    <row r="253" ht="12.75">
      <c r="B253" s="2" t="s">
        <v>343</v>
      </c>
    </row>
    <row r="255" ht="12.75">
      <c r="B255" s="20" t="s">
        <v>376</v>
      </c>
    </row>
    <row r="256" ht="12.75">
      <c r="B256" s="2" t="s">
        <v>344</v>
      </c>
    </row>
    <row r="257" ht="12.75">
      <c r="B257" s="2" t="s">
        <v>345</v>
      </c>
    </row>
    <row r="259" ht="12.75">
      <c r="B259" s="2" t="s">
        <v>346</v>
      </c>
    </row>
    <row r="260" ht="12.75">
      <c r="B260" s="2" t="s">
        <v>347</v>
      </c>
    </row>
    <row r="262" ht="12.75">
      <c r="B262" s="2" t="s">
        <v>348</v>
      </c>
    </row>
  </sheetData>
  <sheetProtection sheet="1" formatCells="0" formatColumns="0" formatRows="0" insertColumns="0" insertRows="0" insertHyperlinks="0" deleteColumns="0" deleteRows="0" sort="0" autoFilter="0" pivotTables="0"/>
  <printOptions/>
  <pageMargins left="0.7" right="0.7" top="0.75" bottom="0.75" header="0.3" footer="0.3"/>
  <pageSetup fitToHeight="0" fitToWidth="1"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2:N254"/>
  <sheetViews>
    <sheetView view="pageBreakPreview" zoomScaleSheetLayoutView="100" zoomScalePageLayoutView="0" workbookViewId="0" topLeftCell="A147">
      <selection activeCell="G161" sqref="G161:G168"/>
    </sheetView>
  </sheetViews>
  <sheetFormatPr defaultColWidth="9.140625" defaultRowHeight="12.75"/>
  <cols>
    <col min="1" max="1" width="4.421875" style="2" customWidth="1"/>
    <col min="2" max="2" width="20.8515625" style="2" customWidth="1"/>
    <col min="3" max="3" width="14.8515625" style="2" customWidth="1"/>
    <col min="4" max="4" width="10.8515625" style="2" customWidth="1"/>
    <col min="5" max="5" width="13.7109375" style="2" customWidth="1"/>
    <col min="6" max="6" width="11.28125" style="2" customWidth="1"/>
    <col min="7" max="7" width="11.57421875" style="2" customWidth="1"/>
    <col min="8" max="8" width="3.421875" style="2" customWidth="1"/>
    <col min="9" max="9" width="12.7109375" style="2" customWidth="1"/>
    <col min="10" max="10" width="12.140625" style="2" customWidth="1"/>
    <col min="11" max="11" width="14.140625" style="2" customWidth="1"/>
    <col min="12" max="12" width="9.140625" style="2" customWidth="1"/>
    <col min="13" max="13" width="9.140625" style="32" customWidth="1"/>
    <col min="14" max="14" width="10.28125" style="32" bestFit="1" customWidth="1"/>
    <col min="15" max="16384" width="9.140625" style="2" customWidth="1"/>
  </cols>
  <sheetData>
    <row r="2" ht="12.75">
      <c r="B2" s="3" t="s">
        <v>151</v>
      </c>
    </row>
    <row r="5" spans="1:7" ht="12.75">
      <c r="A5" s="3">
        <v>2</v>
      </c>
      <c r="B5" s="4" t="s">
        <v>25</v>
      </c>
      <c r="E5" s="3" t="s">
        <v>64</v>
      </c>
      <c r="G5" s="2" t="s">
        <v>65</v>
      </c>
    </row>
    <row r="6" spans="2:7" ht="12.75">
      <c r="B6" s="1"/>
      <c r="E6" s="69" t="s">
        <v>66</v>
      </c>
      <c r="F6" s="70"/>
      <c r="G6" s="71" t="s">
        <v>66</v>
      </c>
    </row>
    <row r="7" spans="2:7" ht="12.75">
      <c r="B7" s="1" t="s">
        <v>473</v>
      </c>
      <c r="E7" s="3">
        <v>300000</v>
      </c>
      <c r="G7" s="2">
        <v>250000</v>
      </c>
    </row>
    <row r="8" spans="2:7" ht="12.75">
      <c r="B8" s="1" t="s">
        <v>173</v>
      </c>
      <c r="E8" s="3">
        <v>45000</v>
      </c>
      <c r="G8" s="2">
        <v>41000</v>
      </c>
    </row>
    <row r="9" spans="2:7" ht="25.5">
      <c r="B9" s="1" t="s">
        <v>56</v>
      </c>
      <c r="E9" s="3">
        <v>250000</v>
      </c>
      <c r="G9" s="2">
        <v>244000</v>
      </c>
    </row>
    <row r="10" spans="2:7" ht="12.75">
      <c r="B10" s="1" t="s">
        <v>57</v>
      </c>
      <c r="E10" s="3">
        <v>40000</v>
      </c>
      <c r="G10" s="2">
        <v>70000</v>
      </c>
    </row>
    <row r="11" spans="2:7" ht="12.75">
      <c r="B11" s="1" t="s">
        <v>55</v>
      </c>
      <c r="E11" s="3">
        <v>13500</v>
      </c>
      <c r="G11" s="2">
        <v>13000</v>
      </c>
    </row>
    <row r="12" spans="2:7" ht="25.5">
      <c r="B12" s="1" t="s">
        <v>103</v>
      </c>
      <c r="E12" s="3">
        <v>0</v>
      </c>
      <c r="G12" s="2">
        <v>5000</v>
      </c>
    </row>
    <row r="13" spans="2:5" ht="12.75">
      <c r="B13" s="1"/>
      <c r="E13" s="3"/>
    </row>
    <row r="14" spans="2:7" ht="13.5" thickBot="1">
      <c r="B14" s="1"/>
      <c r="E14" s="9">
        <f>SUM(E7:E12)</f>
        <v>648500</v>
      </c>
      <c r="G14" s="10">
        <f>SUM(G7:G12)</f>
        <v>623000</v>
      </c>
    </row>
    <row r="15" s="32" customFormat="1" ht="13.5" thickTop="1">
      <c r="B15" s="39"/>
    </row>
    <row r="16" spans="2:7" ht="12.75" customHeight="1">
      <c r="B16" s="85" t="s">
        <v>477</v>
      </c>
      <c r="C16" s="85"/>
      <c r="D16" s="85"/>
      <c r="E16" s="85"/>
      <c r="F16" s="85"/>
      <c r="G16" s="85"/>
    </row>
    <row r="17" ht="12.75">
      <c r="B17" s="1"/>
    </row>
    <row r="18" spans="1:7" ht="12.75">
      <c r="A18" s="3">
        <v>3</v>
      </c>
      <c r="B18" s="4" t="s">
        <v>26</v>
      </c>
      <c r="E18" s="3" t="s">
        <v>64</v>
      </c>
      <c r="G18" s="2" t="s">
        <v>65</v>
      </c>
    </row>
    <row r="19" spans="2:7" ht="12.75">
      <c r="B19" s="1"/>
      <c r="E19" s="69" t="s">
        <v>66</v>
      </c>
      <c r="F19" s="70"/>
      <c r="G19" s="71" t="s">
        <v>66</v>
      </c>
    </row>
    <row r="20" spans="2:7" ht="12.75">
      <c r="B20" s="1"/>
      <c r="E20" s="3">
        <v>200000</v>
      </c>
      <c r="G20" s="2">
        <v>300000</v>
      </c>
    </row>
    <row r="21" spans="2:7" ht="13.5" thickBot="1">
      <c r="B21" s="1"/>
      <c r="E21" s="9">
        <f>SUM(E20)</f>
        <v>200000</v>
      </c>
      <c r="G21" s="10">
        <f>SUM(G20)</f>
        <v>300000</v>
      </c>
    </row>
    <row r="22" spans="2:7" ht="13.5" thickTop="1">
      <c r="B22" s="1"/>
      <c r="E22" s="24"/>
      <c r="G22" s="17"/>
    </row>
    <row r="23" spans="2:8" ht="12.75" customHeight="1">
      <c r="B23" s="85" t="s">
        <v>474</v>
      </c>
      <c r="C23" s="85"/>
      <c r="D23" s="85"/>
      <c r="E23" s="85"/>
      <c r="F23" s="85"/>
      <c r="G23" s="85"/>
      <c r="H23" s="85"/>
    </row>
    <row r="24" spans="2:7" ht="12.75" customHeight="1">
      <c r="B24" s="79" t="s">
        <v>548</v>
      </c>
      <c r="C24" s="88"/>
      <c r="D24" s="88"/>
      <c r="E24" s="88"/>
      <c r="F24" s="88"/>
      <c r="G24" s="88"/>
    </row>
    <row r="25" spans="2:8" ht="12.75" customHeight="1">
      <c r="B25" s="85" t="s">
        <v>549</v>
      </c>
      <c r="C25" s="85"/>
      <c r="D25" s="85"/>
      <c r="E25" s="85"/>
      <c r="F25" s="85"/>
      <c r="G25" s="85"/>
      <c r="H25" s="85"/>
    </row>
    <row r="26" spans="2:7" ht="12.75" customHeight="1">
      <c r="B26" s="85" t="s">
        <v>475</v>
      </c>
      <c r="C26" s="85"/>
      <c r="D26" s="85"/>
      <c r="E26" s="85"/>
      <c r="F26" s="85"/>
      <c r="G26" s="85"/>
    </row>
    <row r="27" spans="2:7" ht="12.75" customHeight="1">
      <c r="B27" s="1"/>
      <c r="C27" s="66"/>
      <c r="D27" s="66"/>
      <c r="E27" s="66"/>
      <c r="F27" s="66"/>
      <c r="G27" s="66"/>
    </row>
    <row r="28" spans="1:7" ht="12.75">
      <c r="A28" s="3">
        <v>4</v>
      </c>
      <c r="B28" s="4" t="s">
        <v>550</v>
      </c>
      <c r="E28" s="3" t="s">
        <v>64</v>
      </c>
      <c r="G28" s="2" t="s">
        <v>65</v>
      </c>
    </row>
    <row r="29" spans="2:7" ht="12.75">
      <c r="B29" s="1"/>
      <c r="E29" s="69" t="s">
        <v>66</v>
      </c>
      <c r="F29" s="70"/>
      <c r="G29" s="71" t="s">
        <v>66</v>
      </c>
    </row>
    <row r="30" spans="2:5" ht="12.75">
      <c r="B30" s="1"/>
      <c r="E30" s="3"/>
    </row>
    <row r="31" spans="2:7" ht="12.75">
      <c r="B31" s="1" t="s">
        <v>58</v>
      </c>
      <c r="E31" s="3">
        <v>300000</v>
      </c>
      <c r="G31" s="2">
        <v>280000</v>
      </c>
    </row>
    <row r="32" spans="2:7" ht="18" customHeight="1">
      <c r="B32" s="82" t="s">
        <v>183</v>
      </c>
      <c r="C32" s="82"/>
      <c r="E32" s="3">
        <v>25000</v>
      </c>
      <c r="G32" s="2">
        <v>25000</v>
      </c>
    </row>
    <row r="33" spans="2:7" ht="16.5" customHeight="1">
      <c r="B33" s="82" t="s">
        <v>184</v>
      </c>
      <c r="C33" s="83"/>
      <c r="E33" s="3">
        <v>10000</v>
      </c>
      <c r="G33" s="2">
        <v>23000</v>
      </c>
    </row>
    <row r="34" spans="2:7" ht="17.25" customHeight="1">
      <c r="B34" s="82" t="s">
        <v>185</v>
      </c>
      <c r="C34" s="83"/>
      <c r="E34" s="3">
        <v>10000</v>
      </c>
      <c r="G34" s="2">
        <v>0</v>
      </c>
    </row>
    <row r="35" spans="2:5" ht="12.75">
      <c r="B35" s="1"/>
      <c r="E35" s="3"/>
    </row>
    <row r="36" spans="2:7" ht="13.5" thickBot="1">
      <c r="B36" s="1"/>
      <c r="E36" s="9">
        <f>SUM(E31:E34)</f>
        <v>345000</v>
      </c>
      <c r="G36" s="10">
        <f>SUM(G31:G34)</f>
        <v>328000</v>
      </c>
    </row>
    <row r="37" spans="2:7" ht="13.5" thickTop="1">
      <c r="B37" s="1"/>
      <c r="E37" s="24"/>
      <c r="G37" s="17"/>
    </row>
    <row r="38" spans="2:8" ht="12.75" customHeight="1">
      <c r="B38" s="84" t="s">
        <v>520</v>
      </c>
      <c r="C38" s="85"/>
      <c r="D38" s="85"/>
      <c r="E38" s="85"/>
      <c r="F38" s="85"/>
      <c r="G38" s="85"/>
      <c r="H38" s="85"/>
    </row>
    <row r="39" spans="2:8" ht="12.75" customHeight="1">
      <c r="B39" s="84" t="s">
        <v>551</v>
      </c>
      <c r="C39" s="85"/>
      <c r="D39" s="85"/>
      <c r="E39" s="85"/>
      <c r="F39" s="85"/>
      <c r="G39" s="85"/>
      <c r="H39" s="85"/>
    </row>
    <row r="40" spans="2:8" ht="12.75" customHeight="1">
      <c r="B40" s="85" t="s">
        <v>552</v>
      </c>
      <c r="C40" s="85"/>
      <c r="D40" s="85"/>
      <c r="E40" s="85"/>
      <c r="F40" s="85"/>
      <c r="G40" s="85"/>
      <c r="H40" s="85"/>
    </row>
    <row r="41" spans="2:7" ht="12.75">
      <c r="B41" s="1"/>
      <c r="E41" s="24"/>
      <c r="G41" s="17"/>
    </row>
    <row r="42" spans="2:7" ht="12.75">
      <c r="B42" s="1"/>
      <c r="E42" s="24"/>
      <c r="G42" s="17"/>
    </row>
    <row r="43" s="32" customFormat="1" ht="12.75">
      <c r="B43" s="39"/>
    </row>
    <row r="44" spans="1:7" ht="12.75">
      <c r="A44" s="3">
        <v>5</v>
      </c>
      <c r="B44" s="4" t="s">
        <v>0</v>
      </c>
      <c r="E44" s="3" t="s">
        <v>64</v>
      </c>
      <c r="G44" s="2" t="s">
        <v>65</v>
      </c>
    </row>
    <row r="45" spans="2:7" ht="12.75">
      <c r="B45" s="1"/>
      <c r="E45" s="69" t="s">
        <v>66</v>
      </c>
      <c r="F45" s="70"/>
      <c r="G45" s="71" t="s">
        <v>66</v>
      </c>
    </row>
    <row r="46" spans="2:5" ht="12.75">
      <c r="B46" s="1"/>
      <c r="E46" s="3"/>
    </row>
    <row r="47" spans="2:7" ht="25.5">
      <c r="B47" s="1" t="s">
        <v>29</v>
      </c>
      <c r="E47" s="3">
        <v>600000</v>
      </c>
      <c r="G47" s="2">
        <v>500000</v>
      </c>
    </row>
    <row r="48" spans="2:7" ht="25.5">
      <c r="B48" s="1" t="s">
        <v>174</v>
      </c>
      <c r="E48" s="3">
        <v>90000</v>
      </c>
      <c r="G48" s="2">
        <v>100000</v>
      </c>
    </row>
    <row r="49" spans="2:7" ht="38.25">
      <c r="B49" s="1" t="s">
        <v>30</v>
      </c>
      <c r="E49" s="3">
        <v>50000</v>
      </c>
      <c r="G49" s="2">
        <v>0</v>
      </c>
    </row>
    <row r="50" spans="2:7" ht="38.25">
      <c r="B50" s="1" t="s">
        <v>32</v>
      </c>
      <c r="E50" s="3">
        <v>100000</v>
      </c>
      <c r="G50" s="2">
        <v>0</v>
      </c>
    </row>
    <row r="51" spans="2:7" ht="12.75">
      <c r="B51" s="1" t="s">
        <v>31</v>
      </c>
      <c r="E51" s="3">
        <v>7000</v>
      </c>
      <c r="G51" s="2">
        <v>6000</v>
      </c>
    </row>
    <row r="52" spans="2:5" ht="12.75">
      <c r="B52" s="1"/>
      <c r="E52" s="3"/>
    </row>
    <row r="53" spans="2:7" ht="25.5">
      <c r="B53" s="1" t="s">
        <v>33</v>
      </c>
      <c r="E53" s="11">
        <f>SUM(E47:E51)</f>
        <v>847000</v>
      </c>
      <c r="G53" s="12">
        <f>SUM(G47:G51)</f>
        <v>606000</v>
      </c>
    </row>
    <row r="54" spans="2:5" ht="12.75">
      <c r="B54" s="1"/>
      <c r="E54" s="3"/>
    </row>
    <row r="55" spans="2:7" ht="25.5">
      <c r="B55" s="1" t="s">
        <v>34</v>
      </c>
      <c r="E55" s="3">
        <v>11000</v>
      </c>
      <c r="G55" s="2">
        <v>18000</v>
      </c>
    </row>
    <row r="56" spans="2:7" ht="12.75">
      <c r="B56" s="1" t="s">
        <v>35</v>
      </c>
      <c r="E56" s="3">
        <v>123000</v>
      </c>
      <c r="G56" s="2">
        <v>140000</v>
      </c>
    </row>
    <row r="57" spans="2:7" ht="12.75">
      <c r="B57" s="1" t="s">
        <v>104</v>
      </c>
      <c r="E57" s="3">
        <v>84000</v>
      </c>
      <c r="G57" s="2">
        <v>89000</v>
      </c>
    </row>
    <row r="58" spans="2:7" ht="12.75">
      <c r="B58" s="1" t="s">
        <v>105</v>
      </c>
      <c r="E58" s="3">
        <v>15000</v>
      </c>
      <c r="G58" s="2">
        <v>20000</v>
      </c>
    </row>
    <row r="59" spans="2:5" ht="12.75">
      <c r="B59" s="1"/>
      <c r="E59" s="3"/>
    </row>
    <row r="60" spans="2:7" ht="25.5">
      <c r="B60" s="1" t="s">
        <v>175</v>
      </c>
      <c r="E60" s="13">
        <f>SUM(E55:E58)</f>
        <v>233000</v>
      </c>
      <c r="G60" s="12">
        <f>SUM(G55:G58)</f>
        <v>267000</v>
      </c>
    </row>
    <row r="61" spans="2:5" ht="12.75">
      <c r="B61" s="1"/>
      <c r="E61" s="3"/>
    </row>
    <row r="62" spans="2:7" ht="26.25" thickBot="1">
      <c r="B62" s="1" t="s">
        <v>36</v>
      </c>
      <c r="E62" s="9">
        <f>E53-E60</f>
        <v>614000</v>
      </c>
      <c r="G62" s="10">
        <f>G53-G60</f>
        <v>339000</v>
      </c>
    </row>
    <row r="63" spans="2:5" ht="13.5" thickTop="1">
      <c r="B63" s="1"/>
      <c r="E63" s="3"/>
    </row>
    <row r="64" spans="2:14" s="14" customFormat="1" ht="25.5">
      <c r="B64" s="15" t="s">
        <v>491</v>
      </c>
      <c r="E64" s="16">
        <v>6</v>
      </c>
      <c r="G64" s="14">
        <v>7</v>
      </c>
      <c r="M64" s="41"/>
      <c r="N64" s="41"/>
    </row>
    <row r="65" spans="2:14" s="14" customFormat="1" ht="12.75">
      <c r="B65" s="15"/>
      <c r="E65" s="16"/>
      <c r="M65" s="41"/>
      <c r="N65" s="41"/>
    </row>
    <row r="66" spans="2:7" ht="12.75" customHeight="1">
      <c r="B66" s="85" t="s">
        <v>476</v>
      </c>
      <c r="C66" s="85"/>
      <c r="D66" s="85"/>
      <c r="E66" s="85"/>
      <c r="F66" s="85"/>
      <c r="G66" s="85"/>
    </row>
    <row r="67" ht="12.75">
      <c r="B67" s="1"/>
    </row>
    <row r="68" spans="1:7" ht="12.75">
      <c r="A68" s="3">
        <v>6</v>
      </c>
      <c r="B68" s="4" t="s">
        <v>1</v>
      </c>
      <c r="E68" s="3" t="s">
        <v>64</v>
      </c>
      <c r="G68" s="2" t="s">
        <v>65</v>
      </c>
    </row>
    <row r="69" spans="2:7" ht="12.75">
      <c r="B69" s="1"/>
      <c r="E69" s="69" t="s">
        <v>66</v>
      </c>
      <c r="F69" s="70"/>
      <c r="G69" s="71" t="s">
        <v>66</v>
      </c>
    </row>
    <row r="70" spans="2:7" ht="25.5">
      <c r="B70" s="1" t="s">
        <v>37</v>
      </c>
      <c r="E70" s="3">
        <v>350000</v>
      </c>
      <c r="G70" s="2">
        <v>310000</v>
      </c>
    </row>
    <row r="71" spans="2:7" ht="12.75">
      <c r="B71" s="1" t="s">
        <v>38</v>
      </c>
      <c r="E71" s="3">
        <f>-81000+7500</f>
        <v>-73500</v>
      </c>
      <c r="G71" s="2">
        <v>-80000</v>
      </c>
    </row>
    <row r="72" spans="2:7" ht="12.75">
      <c r="B72" s="1" t="s">
        <v>39</v>
      </c>
      <c r="E72" s="3">
        <f>-4500-7500</f>
        <v>-12000</v>
      </c>
      <c r="G72" s="2">
        <v>-14000</v>
      </c>
    </row>
    <row r="73" spans="2:5" ht="12.75">
      <c r="B73" s="1"/>
      <c r="E73" s="3"/>
    </row>
    <row r="74" spans="2:7" ht="26.25" thickBot="1">
      <c r="B74" s="1" t="s">
        <v>40</v>
      </c>
      <c r="E74" s="9">
        <f>SUM(E70:E72)</f>
        <v>264500</v>
      </c>
      <c r="G74" s="10">
        <f>SUM(G70:G72)</f>
        <v>216000</v>
      </c>
    </row>
    <row r="75" ht="13.5" thickTop="1">
      <c r="B75" s="1"/>
    </row>
    <row r="76" spans="2:7" ht="12.75" customHeight="1">
      <c r="B76" s="85" t="s">
        <v>478</v>
      </c>
      <c r="C76" s="85"/>
      <c r="D76" s="85"/>
      <c r="E76" s="85"/>
      <c r="F76" s="85"/>
      <c r="G76" s="85"/>
    </row>
    <row r="77" ht="12.75">
      <c r="B77" s="1"/>
    </row>
    <row r="78" spans="1:10" ht="12.75">
      <c r="A78" s="3">
        <v>7</v>
      </c>
      <c r="B78" s="4" t="s">
        <v>67</v>
      </c>
      <c r="E78" s="87" t="s">
        <v>486</v>
      </c>
      <c r="F78" s="87"/>
      <c r="G78" s="87"/>
      <c r="I78" s="87" t="s">
        <v>487</v>
      </c>
      <c r="J78" s="87"/>
    </row>
    <row r="79" spans="1:11" ht="12.75">
      <c r="A79" s="3"/>
      <c r="B79" s="4"/>
      <c r="E79" s="72" t="s">
        <v>66</v>
      </c>
      <c r="F79" s="72" t="s">
        <v>66</v>
      </c>
      <c r="G79" s="72" t="s">
        <v>66</v>
      </c>
      <c r="H79" s="72"/>
      <c r="I79" s="72" t="s">
        <v>66</v>
      </c>
      <c r="J79" s="72" t="s">
        <v>66</v>
      </c>
      <c r="K79" s="72" t="s">
        <v>66</v>
      </c>
    </row>
    <row r="80" spans="2:11" ht="12.75">
      <c r="B80" s="1"/>
      <c r="E80" s="2" t="s">
        <v>149</v>
      </c>
      <c r="F80" s="2" t="s">
        <v>100</v>
      </c>
      <c r="G80" s="2" t="s">
        <v>485</v>
      </c>
      <c r="I80" s="2" t="s">
        <v>149</v>
      </c>
      <c r="J80" s="2" t="s">
        <v>100</v>
      </c>
      <c r="K80" s="31" t="s">
        <v>488</v>
      </c>
    </row>
    <row r="81" spans="2:11" ht="12.75">
      <c r="B81" s="1" t="s">
        <v>146</v>
      </c>
      <c r="E81" s="3">
        <v>300000</v>
      </c>
      <c r="F81" s="2">
        <v>-146000</v>
      </c>
      <c r="G81" s="2">
        <f>E81+F81</f>
        <v>154000</v>
      </c>
      <c r="I81" s="3">
        <v>240000</v>
      </c>
      <c r="J81" s="2">
        <v>-245000</v>
      </c>
      <c r="K81" s="2">
        <f>I81+J81</f>
        <v>-5000</v>
      </c>
    </row>
    <row r="82" spans="2:11" ht="12.75">
      <c r="B82" s="1" t="s">
        <v>147</v>
      </c>
      <c r="E82" s="3">
        <v>200000</v>
      </c>
      <c r="F82" s="31">
        <v>-86000</v>
      </c>
      <c r="G82" s="2">
        <f>E82+F82</f>
        <v>114000</v>
      </c>
      <c r="I82" s="3">
        <v>0</v>
      </c>
      <c r="J82" s="31">
        <v>0</v>
      </c>
      <c r="K82" s="2">
        <f>I82+J82</f>
        <v>0</v>
      </c>
    </row>
    <row r="83" spans="2:11" ht="12.75">
      <c r="B83" s="1" t="s">
        <v>148</v>
      </c>
      <c r="E83" s="3">
        <v>150000</v>
      </c>
      <c r="F83" s="2">
        <v>-64500</v>
      </c>
      <c r="G83" s="2">
        <f>E83+F83</f>
        <v>85500</v>
      </c>
      <c r="I83" s="3">
        <v>0</v>
      </c>
      <c r="J83" s="2">
        <v>0</v>
      </c>
      <c r="K83" s="2">
        <f>I83+J83</f>
        <v>0</v>
      </c>
    </row>
    <row r="84" spans="2:9" ht="12.75">
      <c r="B84" s="1"/>
      <c r="E84" s="3"/>
      <c r="I84" s="3"/>
    </row>
    <row r="85" spans="2:11" ht="13.5" thickBot="1">
      <c r="B85" s="1" t="s">
        <v>16</v>
      </c>
      <c r="E85" s="9">
        <f>SUM(E81:E83)</f>
        <v>650000</v>
      </c>
      <c r="F85" s="10">
        <f>SUM(F81:F83)</f>
        <v>-296500</v>
      </c>
      <c r="G85" s="10">
        <f>E85+F85</f>
        <v>353500</v>
      </c>
      <c r="I85" s="9">
        <f>SUM(I81:I83)</f>
        <v>240000</v>
      </c>
      <c r="J85" s="10">
        <f>SUM(J81:J83)</f>
        <v>-245000</v>
      </c>
      <c r="K85" s="10">
        <f>I85+J85</f>
        <v>-5000</v>
      </c>
    </row>
    <row r="86" spans="2:7" ht="13.5" thickTop="1">
      <c r="B86" s="1"/>
      <c r="E86" s="24"/>
      <c r="G86" s="17"/>
    </row>
    <row r="87" spans="2:7" ht="12.75" customHeight="1">
      <c r="B87" s="85" t="s">
        <v>479</v>
      </c>
      <c r="C87" s="85"/>
      <c r="D87" s="85"/>
      <c r="E87" s="85"/>
      <c r="F87" s="85"/>
      <c r="G87" s="85"/>
    </row>
    <row r="88" ht="12.75">
      <c r="B88" s="1"/>
    </row>
    <row r="89" spans="1:2" ht="12.75">
      <c r="A89" s="3">
        <v>8</v>
      </c>
      <c r="B89" s="4" t="s">
        <v>2</v>
      </c>
    </row>
    <row r="90" ht="12.75">
      <c r="B90" s="1"/>
    </row>
    <row r="91" spans="2:7" ht="12.75">
      <c r="B91" s="6" t="s">
        <v>41</v>
      </c>
      <c r="E91" s="3">
        <v>50000</v>
      </c>
      <c r="G91" s="2">
        <v>50000</v>
      </c>
    </row>
    <row r="92" spans="2:7" ht="12.75">
      <c r="B92" s="6" t="s">
        <v>481</v>
      </c>
      <c r="E92" s="3">
        <v>60000</v>
      </c>
      <c r="G92" s="2">
        <v>79000</v>
      </c>
    </row>
    <row r="93" spans="2:7" ht="25.5">
      <c r="B93" s="6" t="s">
        <v>482</v>
      </c>
      <c r="E93" s="3">
        <v>8000</v>
      </c>
      <c r="G93" s="2">
        <v>8000</v>
      </c>
    </row>
    <row r="94" spans="2:7" ht="12.75">
      <c r="B94" s="6" t="s">
        <v>42</v>
      </c>
      <c r="E94" s="3">
        <v>17000</v>
      </c>
      <c r="G94" s="2">
        <v>30000</v>
      </c>
    </row>
    <row r="95" spans="2:7" ht="12.75">
      <c r="B95" s="6" t="s">
        <v>176</v>
      </c>
      <c r="E95" s="3">
        <v>1800</v>
      </c>
      <c r="G95" s="2">
        <v>2100</v>
      </c>
    </row>
    <row r="96" spans="2:11" ht="12.75">
      <c r="B96" s="7"/>
      <c r="E96" s="3"/>
      <c r="J96" s="32"/>
      <c r="K96" s="32"/>
    </row>
    <row r="97" spans="2:11" ht="13.5" thickBot="1">
      <c r="B97" s="1"/>
      <c r="E97" s="9">
        <f>SUM(E91:E95)</f>
        <v>136800</v>
      </c>
      <c r="G97" s="10">
        <f>SUM(G91:G95)</f>
        <v>169100</v>
      </c>
      <c r="J97" s="32"/>
      <c r="K97" s="32"/>
    </row>
    <row r="98" spans="2:11" ht="13.5" thickTop="1">
      <c r="B98" s="1"/>
      <c r="E98" s="24"/>
      <c r="G98" s="17"/>
      <c r="J98" s="32"/>
      <c r="K98" s="32"/>
    </row>
    <row r="99" spans="2:7" ht="12.75" customHeight="1">
      <c r="B99" s="85" t="s">
        <v>483</v>
      </c>
      <c r="C99" s="85"/>
      <c r="D99" s="85"/>
      <c r="E99" s="85"/>
      <c r="F99" s="85"/>
      <c r="G99" s="85"/>
    </row>
    <row r="100" ht="12.75">
      <c r="B100" s="1"/>
    </row>
    <row r="101" spans="1:10" ht="38.25">
      <c r="A101" s="3">
        <v>9</v>
      </c>
      <c r="B101" s="4" t="s">
        <v>3</v>
      </c>
      <c r="E101" s="6" t="s">
        <v>489</v>
      </c>
      <c r="F101" s="6" t="s">
        <v>490</v>
      </c>
      <c r="G101" s="1" t="s">
        <v>187</v>
      </c>
      <c r="J101" s="2" t="s">
        <v>65</v>
      </c>
    </row>
    <row r="102" spans="2:10" ht="12.75">
      <c r="B102" s="1"/>
      <c r="E102" s="70" t="s">
        <v>66</v>
      </c>
      <c r="F102" s="70" t="s">
        <v>66</v>
      </c>
      <c r="G102" s="70" t="s">
        <v>66</v>
      </c>
      <c r="H102" s="70"/>
      <c r="I102" s="70"/>
      <c r="J102" s="71" t="s">
        <v>66</v>
      </c>
    </row>
    <row r="103" ht="12.75">
      <c r="B103" s="1" t="s">
        <v>177</v>
      </c>
    </row>
    <row r="104" ht="12.75">
      <c r="B104" s="1"/>
    </row>
    <row r="105" spans="2:10" ht="12.75">
      <c r="B105" s="1" t="s">
        <v>6</v>
      </c>
      <c r="E105" s="3">
        <v>350000</v>
      </c>
      <c r="G105" s="3">
        <f>E105+F105</f>
        <v>350000</v>
      </c>
      <c r="J105" s="2">
        <v>34000</v>
      </c>
    </row>
    <row r="106" spans="2:10" ht="12.75">
      <c r="B106" s="1" t="s">
        <v>7</v>
      </c>
      <c r="E106" s="3">
        <v>130000</v>
      </c>
      <c r="G106" s="3">
        <f aca="true" t="shared" si="0" ref="G106:G112">E106+F106</f>
        <v>130000</v>
      </c>
      <c r="J106" s="2">
        <v>135000</v>
      </c>
    </row>
    <row r="107" spans="2:10" ht="12.75">
      <c r="B107" s="1" t="s">
        <v>8</v>
      </c>
      <c r="E107" s="3">
        <v>110000</v>
      </c>
      <c r="G107" s="3">
        <f t="shared" si="0"/>
        <v>110000</v>
      </c>
      <c r="J107" s="2">
        <v>108000</v>
      </c>
    </row>
    <row r="108" spans="2:10" ht="12.75">
      <c r="B108" s="1" t="s">
        <v>9</v>
      </c>
      <c r="E108" s="3">
        <v>70000</v>
      </c>
      <c r="G108" s="3">
        <f t="shared" si="0"/>
        <v>70000</v>
      </c>
      <c r="J108" s="2">
        <v>68000</v>
      </c>
    </row>
    <row r="109" spans="2:10" ht="12.75">
      <c r="B109" s="1" t="s">
        <v>13</v>
      </c>
      <c r="E109" s="3">
        <v>70000</v>
      </c>
      <c r="F109" s="3">
        <v>17000</v>
      </c>
      <c r="G109" s="3">
        <f t="shared" si="0"/>
        <v>87000</v>
      </c>
      <c r="J109" s="2">
        <f>72000+19000</f>
        <v>91000</v>
      </c>
    </row>
    <row r="110" spans="2:10" ht="12.75">
      <c r="B110" s="1" t="s">
        <v>10</v>
      </c>
      <c r="E110" s="3">
        <v>24000</v>
      </c>
      <c r="G110" s="3">
        <f t="shared" si="0"/>
        <v>24000</v>
      </c>
      <c r="J110" s="2">
        <v>21000</v>
      </c>
    </row>
    <row r="111" spans="2:10" ht="12.75">
      <c r="B111" s="1" t="s">
        <v>168</v>
      </c>
      <c r="E111" s="3">
        <v>33000</v>
      </c>
      <c r="G111" s="3">
        <f t="shared" si="0"/>
        <v>33000</v>
      </c>
      <c r="J111" s="2">
        <v>31000</v>
      </c>
    </row>
    <row r="112" spans="2:10" ht="12.75">
      <c r="B112" s="1" t="s">
        <v>12</v>
      </c>
      <c r="E112" s="3">
        <v>10000</v>
      </c>
      <c r="G112" s="3">
        <f t="shared" si="0"/>
        <v>10000</v>
      </c>
      <c r="J112" s="2">
        <v>0</v>
      </c>
    </row>
    <row r="113" spans="2:7" ht="12.75">
      <c r="B113" s="1"/>
      <c r="G113" s="3"/>
    </row>
    <row r="114" spans="2:12" ht="25.5">
      <c r="B114" s="1" t="s">
        <v>110</v>
      </c>
      <c r="E114" s="13">
        <f>SUM(E105:E112)</f>
        <v>797000</v>
      </c>
      <c r="F114" s="13">
        <f>SUM(F105:F112)</f>
        <v>17000</v>
      </c>
      <c r="G114" s="13">
        <f>SUM(G105:G112)</f>
        <v>814000</v>
      </c>
      <c r="J114" s="12">
        <f>SUM(J105:J112)</f>
        <v>488000</v>
      </c>
      <c r="K114" s="32"/>
      <c r="L114" s="32"/>
    </row>
    <row r="115" spans="2:12" ht="12.75">
      <c r="B115" s="1"/>
      <c r="E115" s="24"/>
      <c r="F115" s="24"/>
      <c r="G115" s="24"/>
      <c r="J115" s="17"/>
      <c r="K115" s="32"/>
      <c r="L115" s="32"/>
    </row>
    <row r="116" spans="2:12" ht="17.25" customHeight="1">
      <c r="B116" s="85" t="s">
        <v>484</v>
      </c>
      <c r="C116" s="85"/>
      <c r="D116" s="85"/>
      <c r="E116" s="85"/>
      <c r="F116" s="85"/>
      <c r="G116" s="85"/>
      <c r="H116" s="85"/>
      <c r="I116" s="85"/>
      <c r="J116" s="17"/>
      <c r="K116" s="32"/>
      <c r="L116" s="32"/>
    </row>
    <row r="117" spans="2:12" ht="17.25" customHeight="1">
      <c r="B117" s="67"/>
      <c r="C117" s="67"/>
      <c r="D117" s="67"/>
      <c r="E117" s="67"/>
      <c r="F117" s="67"/>
      <c r="G117" s="67"/>
      <c r="H117" s="67"/>
      <c r="I117" s="67"/>
      <c r="J117" s="17"/>
      <c r="K117" s="32"/>
      <c r="L117" s="32"/>
    </row>
    <row r="118" spans="2:10" ht="144" customHeight="1">
      <c r="B118" s="84" t="s">
        <v>553</v>
      </c>
      <c r="C118" s="85"/>
      <c r="D118" s="85"/>
      <c r="E118" s="85"/>
      <c r="F118" s="85"/>
      <c r="G118" s="85"/>
      <c r="H118" s="85"/>
      <c r="I118" s="85"/>
      <c r="J118" s="85"/>
    </row>
    <row r="119" ht="12.75">
      <c r="B119" s="1"/>
    </row>
    <row r="120" spans="1:11" ht="38.25">
      <c r="A120" s="3">
        <v>10</v>
      </c>
      <c r="B120" s="4" t="s">
        <v>492</v>
      </c>
      <c r="E120" s="8" t="s">
        <v>111</v>
      </c>
      <c r="F120" s="8"/>
      <c r="G120" s="8" t="s">
        <v>196</v>
      </c>
      <c r="H120" s="8"/>
      <c r="I120" s="8"/>
      <c r="J120" s="8" t="s">
        <v>112</v>
      </c>
      <c r="K120" s="4" t="s">
        <v>65</v>
      </c>
    </row>
    <row r="121" spans="2:11" ht="12.75">
      <c r="B121" s="1"/>
      <c r="E121" s="70" t="s">
        <v>66</v>
      </c>
      <c r="G121" s="70" t="s">
        <v>66</v>
      </c>
      <c r="J121" s="70" t="s">
        <v>66</v>
      </c>
      <c r="K121" s="70" t="s">
        <v>66</v>
      </c>
    </row>
    <row r="122" ht="12.75">
      <c r="B122" s="1"/>
    </row>
    <row r="123" spans="2:11" ht="12.75">
      <c r="B123" s="6" t="s">
        <v>188</v>
      </c>
      <c r="E123" s="2">
        <v>218000</v>
      </c>
      <c r="G123" s="2">
        <v>15000</v>
      </c>
      <c r="J123" s="2">
        <f>E60</f>
        <v>233000</v>
      </c>
      <c r="K123" s="2">
        <f>G60</f>
        <v>267000</v>
      </c>
    </row>
    <row r="124" spans="2:11" ht="12.75">
      <c r="B124" s="6" t="s">
        <v>189</v>
      </c>
      <c r="E124" s="2">
        <v>73500</v>
      </c>
      <c r="G124" s="2">
        <v>12000</v>
      </c>
      <c r="J124" s="2">
        <f>E124+G124</f>
        <v>85500</v>
      </c>
      <c r="K124" s="2">
        <f>-G71-G72</f>
        <v>94000</v>
      </c>
    </row>
    <row r="125" spans="2:11" ht="12.75">
      <c r="B125" s="6" t="s">
        <v>190</v>
      </c>
      <c r="E125" s="22">
        <f>9000+199500</f>
        <v>208500</v>
      </c>
      <c r="F125" s="22"/>
      <c r="G125" s="22">
        <v>88000</v>
      </c>
      <c r="H125" s="22"/>
      <c r="I125" s="22"/>
      <c r="J125" s="22">
        <f>-F85</f>
        <v>296500</v>
      </c>
      <c r="K125" s="22">
        <v>245000</v>
      </c>
    </row>
    <row r="126" spans="2:11" ht="25.5">
      <c r="B126" s="7" t="s">
        <v>208</v>
      </c>
      <c r="E126" s="2">
        <f>SUM(E123:E125)</f>
        <v>500000</v>
      </c>
      <c r="G126" s="2">
        <f>SUM(G123:G125)</f>
        <v>115000</v>
      </c>
      <c r="J126" s="2">
        <f>SUM(J123:J125)</f>
        <v>615000</v>
      </c>
      <c r="K126" s="2">
        <f>600000+6000</f>
        <v>606000</v>
      </c>
    </row>
    <row r="128" spans="2:11" ht="38.25">
      <c r="B128" s="7" t="s">
        <v>50</v>
      </c>
      <c r="E128" s="2">
        <f>11000+157000+323000</f>
        <v>491000</v>
      </c>
      <c r="G128" s="2">
        <f>J156</f>
        <v>42000</v>
      </c>
      <c r="J128" s="2">
        <f aca="true" t="shared" si="1" ref="J128:J145">SUM(D128:H128)</f>
        <v>533000</v>
      </c>
      <c r="K128" s="2">
        <f>510000+4000</f>
        <v>514000</v>
      </c>
    </row>
    <row r="129" ht="10.5" customHeight="1">
      <c r="B129" s="7"/>
    </row>
    <row r="130" spans="2:11" ht="25.5">
      <c r="B130" s="7" t="s">
        <v>51</v>
      </c>
      <c r="E130" s="22">
        <v>5000</v>
      </c>
      <c r="F130" s="22"/>
      <c r="G130" s="22">
        <v>0</v>
      </c>
      <c r="H130" s="22"/>
      <c r="I130" s="22"/>
      <c r="J130" s="22">
        <f t="shared" si="1"/>
        <v>5000</v>
      </c>
      <c r="K130" s="22">
        <v>5000</v>
      </c>
    </row>
    <row r="131" ht="12.75">
      <c r="B131" s="7"/>
    </row>
    <row r="132" spans="2:14" s="3" customFormat="1" ht="12.75">
      <c r="B132" s="8" t="s">
        <v>493</v>
      </c>
      <c r="E132" s="3">
        <f>E126+E128+E130</f>
        <v>996000</v>
      </c>
      <c r="G132" s="3">
        <f>G126+G128+G130</f>
        <v>157000</v>
      </c>
      <c r="J132" s="3">
        <f>J126+J128+J130</f>
        <v>1153000</v>
      </c>
      <c r="K132" s="3">
        <f>K126+K128+K130</f>
        <v>1125000</v>
      </c>
      <c r="M132" s="33"/>
      <c r="N132" s="33"/>
    </row>
    <row r="133" ht="12.75">
      <c r="B133" s="1"/>
    </row>
    <row r="134" spans="2:11" ht="12.75">
      <c r="B134" s="1" t="s">
        <v>6</v>
      </c>
      <c r="E134" s="2">
        <v>1600000</v>
      </c>
      <c r="G134" s="2">
        <f>J161</f>
        <v>151000</v>
      </c>
      <c r="J134" s="2">
        <f>SUM(D134:H134)</f>
        <v>1751000</v>
      </c>
      <c r="K134" s="2">
        <f>1700000+7100-1100</f>
        <v>1706000</v>
      </c>
    </row>
    <row r="135" spans="2:11" ht="12.75">
      <c r="B135" s="1" t="s">
        <v>7</v>
      </c>
      <c r="E135" s="2">
        <v>245000</v>
      </c>
      <c r="G135" s="2">
        <f aca="true" t="shared" si="2" ref="G135:G141">J162</f>
        <v>71000</v>
      </c>
      <c r="J135" s="2">
        <f t="shared" si="1"/>
        <v>316000</v>
      </c>
      <c r="K135" s="2">
        <f>300000+4000</f>
        <v>304000</v>
      </c>
    </row>
    <row r="136" spans="2:11" ht="12.75">
      <c r="B136" s="1" t="s">
        <v>8</v>
      </c>
      <c r="E136" s="2">
        <v>123000</v>
      </c>
      <c r="G136" s="2">
        <f t="shared" si="2"/>
        <v>36000</v>
      </c>
      <c r="J136" s="2">
        <f t="shared" si="1"/>
        <v>159000</v>
      </c>
      <c r="K136" s="2">
        <f>150000+3000</f>
        <v>153000</v>
      </c>
    </row>
    <row r="137" spans="2:11" ht="12.75">
      <c r="B137" s="1" t="s">
        <v>9</v>
      </c>
      <c r="E137" s="2">
        <v>174000</v>
      </c>
      <c r="G137" s="2">
        <f t="shared" si="2"/>
        <v>44000</v>
      </c>
      <c r="J137" s="2">
        <f t="shared" si="1"/>
        <v>218000</v>
      </c>
      <c r="K137" s="2">
        <f>200000+3000</f>
        <v>203000</v>
      </c>
    </row>
    <row r="138" spans="2:11" ht="12.75">
      <c r="B138" s="1" t="s">
        <v>13</v>
      </c>
      <c r="E138" s="2">
        <v>62000</v>
      </c>
      <c r="G138" s="2">
        <f t="shared" si="2"/>
        <v>21000</v>
      </c>
      <c r="J138" s="2">
        <f t="shared" si="1"/>
        <v>83000</v>
      </c>
      <c r="K138" s="2">
        <f>75000+1000</f>
        <v>76000</v>
      </c>
    </row>
    <row r="139" spans="2:11" ht="12.75">
      <c r="B139" s="1" t="s">
        <v>10</v>
      </c>
      <c r="E139" s="2">
        <v>57000</v>
      </c>
      <c r="G139" s="2">
        <f t="shared" si="2"/>
        <v>18500</v>
      </c>
      <c r="J139" s="2">
        <f t="shared" si="1"/>
        <v>75500</v>
      </c>
      <c r="K139" s="2">
        <f>70000+1000</f>
        <v>71000</v>
      </c>
    </row>
    <row r="140" spans="2:11" ht="12.75">
      <c r="B140" s="1" t="s">
        <v>168</v>
      </c>
      <c r="E140" s="2">
        <v>64000</v>
      </c>
      <c r="G140" s="2">
        <f t="shared" si="2"/>
        <v>16000</v>
      </c>
      <c r="J140" s="2">
        <f t="shared" si="1"/>
        <v>80000</v>
      </c>
      <c r="K140" s="2">
        <f>75000+1000</f>
        <v>76000</v>
      </c>
    </row>
    <row r="141" spans="2:11" ht="12.75">
      <c r="B141" s="1" t="s">
        <v>12</v>
      </c>
      <c r="E141" s="22">
        <v>38000</v>
      </c>
      <c r="F141" s="22"/>
      <c r="G141" s="22">
        <f t="shared" si="2"/>
        <v>7000</v>
      </c>
      <c r="H141" s="22"/>
      <c r="I141" s="22"/>
      <c r="J141" s="22">
        <f t="shared" si="1"/>
        <v>45000</v>
      </c>
      <c r="K141" s="22">
        <f>40000+1000</f>
        <v>41000</v>
      </c>
    </row>
    <row r="142" ht="12.75">
      <c r="B142" s="1"/>
    </row>
    <row r="143" spans="2:14" s="3" customFormat="1" ht="12.75">
      <c r="B143" s="8" t="s">
        <v>113</v>
      </c>
      <c r="E143" s="3">
        <f>SUM(E134:E141)</f>
        <v>2363000</v>
      </c>
      <c r="G143" s="3">
        <f>SUM(G134:G141)</f>
        <v>364500</v>
      </c>
      <c r="J143" s="3">
        <f t="shared" si="1"/>
        <v>2727500</v>
      </c>
      <c r="K143" s="3">
        <f>SUM(K134:K141)</f>
        <v>2630000</v>
      </c>
      <c r="M143" s="33"/>
      <c r="N143" s="33"/>
    </row>
    <row r="144" ht="12.75">
      <c r="B144" s="7"/>
    </row>
    <row r="145" spans="2:14" s="3" customFormat="1" ht="13.5" thickBot="1">
      <c r="B145" s="4" t="s">
        <v>16</v>
      </c>
      <c r="E145" s="9">
        <f>E132+E143</f>
        <v>3359000</v>
      </c>
      <c r="F145" s="9"/>
      <c r="G145" s="9">
        <f>G132+G143</f>
        <v>521500</v>
      </c>
      <c r="H145" s="9"/>
      <c r="I145" s="9"/>
      <c r="J145" s="9">
        <f t="shared" si="1"/>
        <v>3880500</v>
      </c>
      <c r="K145" s="9">
        <f>K143+K132</f>
        <v>3755000</v>
      </c>
      <c r="M145" s="33"/>
      <c r="N145" s="33"/>
    </row>
    <row r="146" ht="13.5" thickTop="1">
      <c r="B146" s="1"/>
    </row>
    <row r="147" spans="2:11" ht="12.75">
      <c r="B147" s="84" t="s">
        <v>521</v>
      </c>
      <c r="C147" s="84"/>
      <c r="D147" s="84"/>
      <c r="E147" s="84"/>
      <c r="F147" s="84"/>
      <c r="G147" s="84"/>
      <c r="H147" s="84"/>
      <c r="I147" s="84"/>
      <c r="J147" s="84"/>
      <c r="K147" s="84"/>
    </row>
    <row r="148" spans="2:11" ht="12.75">
      <c r="B148" s="84"/>
      <c r="C148" s="84"/>
      <c r="D148" s="84"/>
      <c r="E148" s="84"/>
      <c r="F148" s="84"/>
      <c r="G148" s="84"/>
      <c r="H148" s="84"/>
      <c r="I148" s="84"/>
      <c r="J148" s="84"/>
      <c r="K148" s="84"/>
    </row>
    <row r="149" spans="2:11" ht="12.75">
      <c r="B149" s="68"/>
      <c r="C149" s="68"/>
      <c r="D149" s="68"/>
      <c r="E149" s="68"/>
      <c r="F149" s="68"/>
      <c r="G149" s="68"/>
      <c r="H149" s="68"/>
      <c r="I149" s="68"/>
      <c r="J149" s="68"/>
      <c r="K149" s="68"/>
    </row>
    <row r="150" spans="1:2" ht="25.5">
      <c r="A150" s="20">
        <v>11</v>
      </c>
      <c r="B150" s="4" t="s">
        <v>48</v>
      </c>
    </row>
    <row r="151" ht="12.75">
      <c r="B151" s="1"/>
    </row>
    <row r="152" spans="2:11" ht="25.5">
      <c r="B152" s="1"/>
      <c r="C152" s="3" t="s">
        <v>494</v>
      </c>
      <c r="D152" s="4" t="s">
        <v>54</v>
      </c>
      <c r="E152" s="4" t="s">
        <v>52</v>
      </c>
      <c r="F152" s="4" t="s">
        <v>53</v>
      </c>
      <c r="G152" s="4" t="s">
        <v>106</v>
      </c>
      <c r="H152" s="4"/>
      <c r="I152" s="4" t="s">
        <v>11</v>
      </c>
      <c r="J152" s="4" t="s">
        <v>16</v>
      </c>
      <c r="K152" s="3" t="s">
        <v>65</v>
      </c>
    </row>
    <row r="153" spans="3:11" ht="12.75">
      <c r="C153" s="3" t="s">
        <v>495</v>
      </c>
      <c r="D153" s="70" t="s">
        <v>66</v>
      </c>
      <c r="E153" s="70" t="s">
        <v>66</v>
      </c>
      <c r="F153" s="70" t="s">
        <v>66</v>
      </c>
      <c r="G153" s="70" t="s">
        <v>66</v>
      </c>
      <c r="H153" s="3"/>
      <c r="I153" s="70" t="s">
        <v>66</v>
      </c>
      <c r="J153" s="70" t="s">
        <v>66</v>
      </c>
      <c r="K153" s="70" t="s">
        <v>66</v>
      </c>
    </row>
    <row r="154" ht="12.75">
      <c r="B154" s="1"/>
    </row>
    <row r="155" spans="2:11" ht="25.5">
      <c r="B155" s="7" t="s">
        <v>49</v>
      </c>
      <c r="C155" s="6" t="s">
        <v>497</v>
      </c>
      <c r="D155" s="2">
        <v>30000</v>
      </c>
      <c r="E155" s="2">
        <v>40000</v>
      </c>
      <c r="F155" s="2">
        <v>15000</v>
      </c>
      <c r="G155" s="2">
        <v>25000</v>
      </c>
      <c r="I155" s="2">
        <v>5000</v>
      </c>
      <c r="J155" s="3">
        <f>SUM(D155:I155)</f>
        <v>115000</v>
      </c>
      <c r="K155" s="2">
        <f>110000+6000</f>
        <v>116000</v>
      </c>
    </row>
    <row r="156" spans="2:11" ht="38.25">
      <c r="B156" s="7" t="s">
        <v>50</v>
      </c>
      <c r="C156" s="6" t="s">
        <v>497</v>
      </c>
      <c r="D156" s="2">
        <v>11000</v>
      </c>
      <c r="E156" s="2">
        <v>9000</v>
      </c>
      <c r="F156" s="2">
        <v>11000</v>
      </c>
      <c r="G156" s="2">
        <v>9000</v>
      </c>
      <c r="I156" s="2">
        <v>2000</v>
      </c>
      <c r="J156" s="3">
        <f>SUM(D156:I156)</f>
        <v>42000</v>
      </c>
      <c r="K156" s="2">
        <f>40000+4000</f>
        <v>44000</v>
      </c>
    </row>
    <row r="157" spans="2:11" ht="25.5">
      <c r="B157" s="7" t="s">
        <v>51</v>
      </c>
      <c r="D157" s="2">
        <v>0</v>
      </c>
      <c r="E157" s="2">
        <v>0</v>
      </c>
      <c r="F157" s="2">
        <v>0</v>
      </c>
      <c r="G157" s="2">
        <v>0</v>
      </c>
      <c r="I157" s="2">
        <v>0</v>
      </c>
      <c r="J157" s="3">
        <f>SUM(D157:G157)</f>
        <v>0</v>
      </c>
      <c r="K157" s="2">
        <v>0</v>
      </c>
    </row>
    <row r="158" spans="2:10" ht="12.75">
      <c r="B158" s="1"/>
      <c r="J158" s="3"/>
    </row>
    <row r="159" spans="2:11" ht="25.5">
      <c r="B159" s="8" t="s">
        <v>4</v>
      </c>
      <c r="C159" s="3"/>
      <c r="D159" s="13">
        <f>SUM(D155:D157)</f>
        <v>41000</v>
      </c>
      <c r="E159" s="13">
        <f>SUM(E155:E157)</f>
        <v>49000</v>
      </c>
      <c r="F159" s="13">
        <f>SUM(F155:F157)</f>
        <v>26000</v>
      </c>
      <c r="G159" s="13">
        <f>SUM(G155:G157)</f>
        <v>34000</v>
      </c>
      <c r="H159" s="13"/>
      <c r="I159" s="13">
        <f>SUM(I155:I157)</f>
        <v>7000</v>
      </c>
      <c r="J159" s="13">
        <f>SUM(D159:I159)</f>
        <v>157000</v>
      </c>
      <c r="K159" s="12">
        <f>SUM(K155:K157)</f>
        <v>160000</v>
      </c>
    </row>
    <row r="160" spans="2:10" ht="12.75">
      <c r="B160" s="1"/>
      <c r="J160" s="3"/>
    </row>
    <row r="161" spans="2:11" ht="12.75">
      <c r="B161" s="1" t="s">
        <v>6</v>
      </c>
      <c r="C161" s="31" t="s">
        <v>496</v>
      </c>
      <c r="D161" s="2">
        <v>30000</v>
      </c>
      <c r="E161" s="2">
        <v>75000</v>
      </c>
      <c r="F161" s="2">
        <v>15000</v>
      </c>
      <c r="G161" s="2">
        <v>25000</v>
      </c>
      <c r="I161" s="2">
        <v>6000</v>
      </c>
      <c r="J161" s="3">
        <f>SUM(D161:I161)</f>
        <v>151000</v>
      </c>
      <c r="K161" s="2">
        <f>136000+6000+100</f>
        <v>142100</v>
      </c>
    </row>
    <row r="162" spans="2:11" ht="12.75">
      <c r="B162" s="1" t="s">
        <v>7</v>
      </c>
      <c r="C162" s="31" t="s">
        <v>496</v>
      </c>
      <c r="D162" s="2">
        <v>11000</v>
      </c>
      <c r="E162" s="2">
        <v>26000</v>
      </c>
      <c r="F162" s="2">
        <v>16000</v>
      </c>
      <c r="G162" s="2">
        <v>14000</v>
      </c>
      <c r="I162" s="2">
        <v>4000</v>
      </c>
      <c r="J162" s="3">
        <f aca="true" t="shared" si="3" ref="J162:J168">SUM(D162:I162)</f>
        <v>71000</v>
      </c>
      <c r="K162" s="2">
        <f>60000+4000</f>
        <v>64000</v>
      </c>
    </row>
    <row r="163" spans="2:11" ht="12.75">
      <c r="B163" s="1" t="s">
        <v>8</v>
      </c>
      <c r="C163" s="31" t="s">
        <v>496</v>
      </c>
      <c r="D163" s="2">
        <v>5000</v>
      </c>
      <c r="E163" s="2">
        <v>15000</v>
      </c>
      <c r="F163" s="2">
        <v>5000</v>
      </c>
      <c r="G163" s="2">
        <v>9000</v>
      </c>
      <c r="I163" s="2">
        <v>2000</v>
      </c>
      <c r="J163" s="3">
        <f t="shared" si="3"/>
        <v>36000</v>
      </c>
      <c r="K163" s="2">
        <v>33000</v>
      </c>
    </row>
    <row r="164" spans="2:11" ht="12.75">
      <c r="B164" s="1" t="s">
        <v>9</v>
      </c>
      <c r="C164" s="31" t="s">
        <v>496</v>
      </c>
      <c r="D164" s="2">
        <v>12000</v>
      </c>
      <c r="E164" s="2">
        <v>18000</v>
      </c>
      <c r="F164" s="2">
        <v>4000</v>
      </c>
      <c r="G164" s="2">
        <v>6000</v>
      </c>
      <c r="I164" s="2">
        <v>4000</v>
      </c>
      <c r="J164" s="3">
        <f t="shared" si="3"/>
        <v>44000</v>
      </c>
      <c r="K164" s="2">
        <v>38000</v>
      </c>
    </row>
    <row r="165" spans="2:11" ht="12.75">
      <c r="B165" s="1" t="s">
        <v>13</v>
      </c>
      <c r="C165" s="31" t="s">
        <v>496</v>
      </c>
      <c r="D165" s="2">
        <v>4000</v>
      </c>
      <c r="E165" s="2">
        <v>6000</v>
      </c>
      <c r="F165" s="2">
        <v>3000</v>
      </c>
      <c r="G165" s="2">
        <v>5000</v>
      </c>
      <c r="I165" s="2">
        <v>3000</v>
      </c>
      <c r="J165" s="3">
        <f t="shared" si="3"/>
        <v>21000</v>
      </c>
      <c r="K165" s="2">
        <v>16000</v>
      </c>
    </row>
    <row r="166" spans="2:11" ht="12.75">
      <c r="B166" s="1" t="s">
        <v>10</v>
      </c>
      <c r="C166" s="31" t="s">
        <v>496</v>
      </c>
      <c r="D166" s="2">
        <v>4000</v>
      </c>
      <c r="E166" s="2">
        <v>5500</v>
      </c>
      <c r="F166" s="2">
        <v>3200</v>
      </c>
      <c r="G166" s="2">
        <v>3800</v>
      </c>
      <c r="I166" s="2">
        <v>2000</v>
      </c>
      <c r="J166" s="3">
        <f t="shared" si="3"/>
        <v>18500</v>
      </c>
      <c r="K166" s="2">
        <v>16000</v>
      </c>
    </row>
    <row r="167" spans="2:11" ht="12.75">
      <c r="B167" s="1" t="s">
        <v>168</v>
      </c>
      <c r="C167" s="31" t="s">
        <v>496</v>
      </c>
      <c r="D167" s="2">
        <v>2000</v>
      </c>
      <c r="E167" s="2">
        <v>5000</v>
      </c>
      <c r="F167" s="2">
        <v>3000</v>
      </c>
      <c r="G167" s="2">
        <v>4000</v>
      </c>
      <c r="I167" s="2">
        <v>2000</v>
      </c>
      <c r="J167" s="3">
        <f t="shared" si="3"/>
        <v>16000</v>
      </c>
      <c r="K167" s="2">
        <v>13000</v>
      </c>
    </row>
    <row r="168" spans="2:11" ht="12.75">
      <c r="B168" s="1" t="s">
        <v>12</v>
      </c>
      <c r="C168" s="31" t="s">
        <v>496</v>
      </c>
      <c r="D168" s="2">
        <v>1500</v>
      </c>
      <c r="E168" s="2">
        <v>2000</v>
      </c>
      <c r="F168" s="2">
        <v>500</v>
      </c>
      <c r="G168" s="2">
        <v>1000</v>
      </c>
      <c r="I168" s="2">
        <v>2000</v>
      </c>
      <c r="J168" s="3">
        <f t="shared" si="3"/>
        <v>7000</v>
      </c>
      <c r="K168" s="2">
        <v>5000</v>
      </c>
    </row>
    <row r="169" spans="2:10" ht="12.75">
      <c r="B169" s="1"/>
      <c r="J169" s="3"/>
    </row>
    <row r="170" spans="2:11" ht="12.75">
      <c r="B170" s="8" t="s">
        <v>5</v>
      </c>
      <c r="C170" s="3"/>
      <c r="D170" s="13">
        <f>SUM(D161:D168)</f>
        <v>69500</v>
      </c>
      <c r="E170" s="13">
        <f>SUM(E161:E168)</f>
        <v>152500</v>
      </c>
      <c r="F170" s="13">
        <f>SUM(F161:F168)</f>
        <v>49700</v>
      </c>
      <c r="G170" s="13">
        <f>SUM(G161:G168)</f>
        <v>67800</v>
      </c>
      <c r="H170" s="13"/>
      <c r="I170" s="13">
        <f>SUM(I161:I168)</f>
        <v>25000</v>
      </c>
      <c r="J170" s="13">
        <f>SUM(D170:I170)</f>
        <v>364500</v>
      </c>
      <c r="K170" s="12">
        <f>SUM(K161:K168)</f>
        <v>327100</v>
      </c>
    </row>
    <row r="171" spans="2:10" ht="12.75">
      <c r="B171" s="1"/>
      <c r="J171" s="3"/>
    </row>
    <row r="172" spans="2:10" ht="12.75">
      <c r="B172" s="1"/>
      <c r="J172" s="3"/>
    </row>
    <row r="173" spans="2:11" ht="13.5" thickBot="1">
      <c r="B173" s="4" t="s">
        <v>16</v>
      </c>
      <c r="D173" s="9">
        <f>+D170+D159</f>
        <v>110500</v>
      </c>
      <c r="E173" s="9">
        <f>+E170+E159</f>
        <v>201500</v>
      </c>
      <c r="F173" s="9">
        <f>+F170+F159</f>
        <v>75700</v>
      </c>
      <c r="G173" s="9">
        <f>+G170+G159</f>
        <v>101800</v>
      </c>
      <c r="H173" s="9"/>
      <c r="I173" s="9">
        <f>+I170+I159</f>
        <v>32000</v>
      </c>
      <c r="J173" s="9">
        <f>+J170+J159</f>
        <v>521500</v>
      </c>
      <c r="K173" s="10">
        <f>K170+K159</f>
        <v>487100</v>
      </c>
    </row>
    <row r="174" ht="13.5" thickTop="1">
      <c r="B174" s="1"/>
    </row>
    <row r="175" spans="2:11" ht="37.5" customHeight="1">
      <c r="B175" s="84" t="s">
        <v>554</v>
      </c>
      <c r="C175" s="84"/>
      <c r="D175" s="84"/>
      <c r="E175" s="84"/>
      <c r="F175" s="84"/>
      <c r="G175" s="84"/>
      <c r="H175" s="84"/>
      <c r="I175" s="84"/>
      <c r="J175" s="84"/>
      <c r="K175" s="84"/>
    </row>
    <row r="176" ht="12.75">
      <c r="B176" s="1"/>
    </row>
    <row r="177" spans="1:2" ht="51">
      <c r="A177" s="3">
        <v>12</v>
      </c>
      <c r="B177" s="4" t="s">
        <v>499</v>
      </c>
    </row>
    <row r="178" spans="1:6" ht="12.75">
      <c r="A178" s="3"/>
      <c r="B178" s="4"/>
      <c r="D178" s="3" t="s">
        <v>64</v>
      </c>
      <c r="F178" s="2" t="s">
        <v>65</v>
      </c>
    </row>
    <row r="179" spans="2:6" ht="12.75">
      <c r="B179" s="1"/>
      <c r="D179" s="69" t="s">
        <v>66</v>
      </c>
      <c r="E179" s="70"/>
      <c r="F179" s="71" t="s">
        <v>66</v>
      </c>
    </row>
    <row r="180" spans="2:6" ht="12.75">
      <c r="B180" s="7" t="s">
        <v>43</v>
      </c>
      <c r="D180" s="3">
        <v>1500000</v>
      </c>
      <c r="F180" s="2">
        <v>1480000</v>
      </c>
    </row>
    <row r="181" spans="2:6" ht="12.75">
      <c r="B181" s="7" t="s">
        <v>500</v>
      </c>
      <c r="D181" s="3">
        <v>397000</v>
      </c>
      <c r="F181" s="2">
        <v>388000</v>
      </c>
    </row>
    <row r="182" spans="2:6" ht="12.75">
      <c r="B182" s="7" t="s">
        <v>501</v>
      </c>
      <c r="D182" s="3">
        <v>300500</v>
      </c>
      <c r="F182" s="2">
        <v>288000</v>
      </c>
    </row>
    <row r="183" spans="2:4" ht="12.75">
      <c r="B183" s="1"/>
      <c r="D183" s="3"/>
    </row>
    <row r="184" spans="2:6" ht="13.5" thickBot="1">
      <c r="B184" s="1"/>
      <c r="D184" s="9">
        <f>SUM(D180:D182)</f>
        <v>2197500</v>
      </c>
      <c r="F184" s="10">
        <f>SUM(F180:F182)</f>
        <v>2156000</v>
      </c>
    </row>
    <row r="185" ht="13.5" thickTop="1">
      <c r="B185" s="1"/>
    </row>
    <row r="186" spans="2:10" ht="27.75" customHeight="1">
      <c r="B186" s="84" t="s">
        <v>522</v>
      </c>
      <c r="C186" s="84"/>
      <c r="D186" s="84"/>
      <c r="E186" s="84"/>
      <c r="F186" s="84"/>
      <c r="G186" s="84"/>
      <c r="H186" s="84"/>
      <c r="I186" s="84"/>
      <c r="J186" s="84"/>
    </row>
    <row r="187" ht="12.75">
      <c r="B187" s="1"/>
    </row>
    <row r="188" spans="2:4" ht="18" customHeight="1">
      <c r="B188" s="74" t="s">
        <v>523</v>
      </c>
      <c r="C188" s="66"/>
      <c r="D188" s="66"/>
    </row>
    <row r="189" spans="2:4" ht="18" customHeight="1">
      <c r="B189" s="66"/>
      <c r="C189" s="66"/>
      <c r="D189" s="66"/>
    </row>
    <row r="190" spans="2:7" ht="12.75">
      <c r="B190" s="1"/>
      <c r="D190" s="86" t="s">
        <v>64</v>
      </c>
      <c r="E190" s="86"/>
      <c r="F190" s="86" t="s">
        <v>65</v>
      </c>
      <c r="G190" s="86"/>
    </row>
    <row r="191" spans="2:7" ht="38.25">
      <c r="B191" s="1"/>
      <c r="D191" s="7" t="s">
        <v>133</v>
      </c>
      <c r="E191" s="15" t="s">
        <v>502</v>
      </c>
      <c r="F191" s="7" t="s">
        <v>133</v>
      </c>
      <c r="G191" s="15" t="s">
        <v>502</v>
      </c>
    </row>
    <row r="192" spans="2:7" ht="12.75">
      <c r="B192" s="1"/>
      <c r="E192" s="14"/>
      <c r="G192" s="14"/>
    </row>
    <row r="193" spans="2:7" ht="25.5">
      <c r="B193" s="1" t="s">
        <v>178</v>
      </c>
      <c r="D193" s="2">
        <v>140</v>
      </c>
      <c r="E193" s="14">
        <v>80</v>
      </c>
      <c r="F193" s="2">
        <v>135</v>
      </c>
      <c r="G193" s="14">
        <v>76</v>
      </c>
    </row>
    <row r="194" spans="2:7" ht="12.75">
      <c r="B194" s="1" t="s">
        <v>135</v>
      </c>
      <c r="D194" s="2">
        <v>8</v>
      </c>
      <c r="E194" s="14">
        <v>7.5</v>
      </c>
      <c r="F194" s="2">
        <v>8</v>
      </c>
      <c r="G194" s="14">
        <v>7.5</v>
      </c>
    </row>
    <row r="195" spans="2:7" ht="12.75">
      <c r="B195" s="1" t="s">
        <v>11</v>
      </c>
      <c r="D195" s="2">
        <v>0</v>
      </c>
      <c r="E195" s="14">
        <v>0.5</v>
      </c>
      <c r="F195" s="2">
        <v>0</v>
      </c>
      <c r="G195" s="14">
        <v>0.5</v>
      </c>
    </row>
    <row r="196" spans="2:7" ht="12.75">
      <c r="B196" s="1" t="s">
        <v>134</v>
      </c>
      <c r="D196" s="2">
        <v>40</v>
      </c>
      <c r="E196" s="14">
        <v>28</v>
      </c>
      <c r="F196" s="2">
        <v>39</v>
      </c>
      <c r="G196" s="14">
        <v>26</v>
      </c>
    </row>
    <row r="197" spans="2:7" ht="12.75">
      <c r="B197" s="1"/>
      <c r="E197" s="14"/>
      <c r="G197" s="14"/>
    </row>
    <row r="198" spans="2:14" s="3" customFormat="1" ht="12.75">
      <c r="B198" s="4" t="s">
        <v>16</v>
      </c>
      <c r="D198" s="13">
        <f>SUM(D193:D196)</f>
        <v>188</v>
      </c>
      <c r="E198" s="19">
        <f>SUM(E193:E196)</f>
        <v>116</v>
      </c>
      <c r="F198" s="13">
        <f>SUM(F193:F196)</f>
        <v>182</v>
      </c>
      <c r="G198" s="19">
        <f>SUM(G193:G196)</f>
        <v>110</v>
      </c>
      <c r="M198" s="33"/>
      <c r="N198" s="33"/>
    </row>
    <row r="199" ht="12.75">
      <c r="B199" s="1"/>
    </row>
    <row r="200" spans="2:7" ht="26.25" customHeight="1">
      <c r="B200" s="79" t="s">
        <v>503</v>
      </c>
      <c r="C200" s="90"/>
      <c r="D200" s="90"/>
      <c r="E200" s="90"/>
      <c r="F200" s="90"/>
      <c r="G200" s="90"/>
    </row>
    <row r="201" ht="12.75">
      <c r="B201" s="1"/>
    </row>
    <row r="202" spans="2:6" ht="12.75">
      <c r="B202" s="1"/>
      <c r="D202" s="2" t="s">
        <v>64</v>
      </c>
      <c r="F202" s="2" t="s">
        <v>65</v>
      </c>
    </row>
    <row r="203" spans="2:6" ht="12.75">
      <c r="B203" s="1" t="s">
        <v>161</v>
      </c>
      <c r="D203" s="2">
        <v>2</v>
      </c>
      <c r="F203" s="2">
        <v>3</v>
      </c>
    </row>
    <row r="204" spans="2:6" ht="12.75">
      <c r="B204" s="1" t="s">
        <v>162</v>
      </c>
      <c r="D204" s="2">
        <v>1</v>
      </c>
      <c r="F204" s="2">
        <v>0</v>
      </c>
    </row>
    <row r="205" spans="2:6" ht="12.75">
      <c r="B205" s="1" t="s">
        <v>163</v>
      </c>
      <c r="D205" s="2">
        <v>0</v>
      </c>
      <c r="F205" s="2">
        <v>1</v>
      </c>
    </row>
    <row r="206" spans="2:6" ht="12.75">
      <c r="B206" s="1" t="s">
        <v>160</v>
      </c>
      <c r="D206" s="2">
        <v>1</v>
      </c>
      <c r="F206" s="2">
        <v>0</v>
      </c>
    </row>
    <row r="207" spans="2:6" ht="13.5" thickBot="1">
      <c r="B207" s="1" t="s">
        <v>164</v>
      </c>
      <c r="D207" s="29">
        <v>1</v>
      </c>
      <c r="F207" s="29">
        <v>1</v>
      </c>
    </row>
    <row r="208" ht="13.5" thickTop="1">
      <c r="B208" s="1"/>
    </row>
    <row r="209" spans="2:7" ht="25.5" customHeight="1">
      <c r="B209" s="79" t="s">
        <v>524</v>
      </c>
      <c r="C209" s="80"/>
      <c r="D209" s="80"/>
      <c r="E209" s="80"/>
      <c r="F209" s="80"/>
      <c r="G209" s="80"/>
    </row>
    <row r="210" spans="2:7" ht="12.75" customHeight="1">
      <c r="B210" s="6"/>
      <c r="C210" s="23"/>
      <c r="D210" s="23"/>
      <c r="E210" s="23"/>
      <c r="F210" s="23"/>
      <c r="G210" s="23"/>
    </row>
    <row r="211" spans="2:7" ht="12.75" customHeight="1">
      <c r="B211" s="81" t="s">
        <v>525</v>
      </c>
      <c r="C211" s="81"/>
      <c r="D211" s="81"/>
      <c r="E211" s="81"/>
      <c r="F211" s="81"/>
      <c r="G211" s="81"/>
    </row>
    <row r="212" spans="2:7" ht="12.75" customHeight="1">
      <c r="B212" s="81"/>
      <c r="C212" s="81"/>
      <c r="D212" s="81"/>
      <c r="E212" s="81"/>
      <c r="F212" s="81"/>
      <c r="G212" s="81"/>
    </row>
    <row r="213" spans="2:7" ht="12.75" customHeight="1">
      <c r="B213" s="81"/>
      <c r="C213" s="81"/>
      <c r="D213" s="81"/>
      <c r="E213" s="81"/>
      <c r="F213" s="81"/>
      <c r="G213" s="81"/>
    </row>
    <row r="214" spans="2:7" ht="12.75" customHeight="1">
      <c r="B214" s="81"/>
      <c r="C214" s="81"/>
      <c r="D214" s="81"/>
      <c r="E214" s="81"/>
      <c r="F214" s="81"/>
      <c r="G214" s="81"/>
    </row>
    <row r="215" spans="2:7" ht="2.25" customHeight="1">
      <c r="B215" s="81"/>
      <c r="C215" s="81"/>
      <c r="D215" s="81"/>
      <c r="E215" s="81"/>
      <c r="F215" s="81"/>
      <c r="G215" s="81"/>
    </row>
    <row r="216" spans="2:7" ht="12.75" customHeight="1" hidden="1">
      <c r="B216" s="81"/>
      <c r="C216" s="81"/>
      <c r="D216" s="81"/>
      <c r="E216" s="81"/>
      <c r="F216" s="81"/>
      <c r="G216" s="81"/>
    </row>
    <row r="217" spans="2:7" ht="12.75" customHeight="1" hidden="1">
      <c r="B217" s="81"/>
      <c r="C217" s="81"/>
      <c r="D217" s="81"/>
      <c r="E217" s="81"/>
      <c r="F217" s="81"/>
      <c r="G217" s="81"/>
    </row>
    <row r="218" spans="2:7" ht="12.75" customHeight="1" hidden="1">
      <c r="B218" s="81"/>
      <c r="C218" s="81"/>
      <c r="D218" s="81"/>
      <c r="E218" s="81"/>
      <c r="F218" s="81"/>
      <c r="G218" s="81"/>
    </row>
    <row r="219" spans="2:7" ht="12.75" customHeight="1" hidden="1">
      <c r="B219" s="81"/>
      <c r="C219" s="81"/>
      <c r="D219" s="81"/>
      <c r="E219" s="81"/>
      <c r="F219" s="81"/>
      <c r="G219" s="81"/>
    </row>
    <row r="220" spans="2:7" ht="12.75" customHeight="1" hidden="1">
      <c r="B220" s="81"/>
      <c r="C220" s="81"/>
      <c r="D220" s="81"/>
      <c r="E220" s="81"/>
      <c r="F220" s="81"/>
      <c r="G220" s="81"/>
    </row>
    <row r="221" spans="2:7" ht="12.75" customHeight="1">
      <c r="B221" s="6"/>
      <c r="C221" s="23"/>
      <c r="D221" s="23"/>
      <c r="E221" s="23"/>
      <c r="F221" s="23"/>
      <c r="G221" s="23"/>
    </row>
    <row r="222" spans="2:7" ht="20.25" customHeight="1">
      <c r="B222" s="81" t="s">
        <v>526</v>
      </c>
      <c r="C222" s="81"/>
      <c r="D222" s="81"/>
      <c r="E222" s="81"/>
      <c r="F222" s="81"/>
      <c r="G222" s="81"/>
    </row>
    <row r="223" spans="2:7" ht="35.25" customHeight="1">
      <c r="B223" s="81"/>
      <c r="C223" s="81"/>
      <c r="D223" s="81"/>
      <c r="E223" s="81"/>
      <c r="F223" s="81"/>
      <c r="G223" s="81"/>
    </row>
    <row r="224" spans="2:7" ht="13.5" customHeight="1">
      <c r="B224" s="75"/>
      <c r="C224" s="75"/>
      <c r="D224" s="75"/>
      <c r="E224" s="75"/>
      <c r="F224" s="75"/>
      <c r="G224" s="75"/>
    </row>
    <row r="225" spans="2:7" ht="13.5" customHeight="1">
      <c r="B225" s="89" t="s">
        <v>527</v>
      </c>
      <c r="C225" s="89"/>
      <c r="D225" s="89"/>
      <c r="E225" s="89"/>
      <c r="F225" s="89"/>
      <c r="G225" s="89"/>
    </row>
    <row r="226" spans="2:7" ht="32.25" customHeight="1">
      <c r="B226" s="89"/>
      <c r="C226" s="89"/>
      <c r="D226" s="89"/>
      <c r="E226" s="89"/>
      <c r="F226" s="89"/>
      <c r="G226" s="89"/>
    </row>
    <row r="227" spans="2:7" ht="35.25" customHeight="1">
      <c r="B227" s="75"/>
      <c r="C227" s="75"/>
      <c r="D227" s="75"/>
      <c r="E227" s="75"/>
      <c r="F227" s="75"/>
      <c r="G227" s="75"/>
    </row>
    <row r="228" spans="2:7" ht="12.75" customHeight="1">
      <c r="B228" s="75"/>
      <c r="C228" s="75"/>
      <c r="D228" s="75"/>
      <c r="E228" s="75"/>
      <c r="F228" s="75"/>
      <c r="G228" s="75"/>
    </row>
    <row r="229" spans="1:2" ht="25.5">
      <c r="A229" s="3">
        <v>13</v>
      </c>
      <c r="B229" s="4" t="s">
        <v>44</v>
      </c>
    </row>
    <row r="230" spans="2:6" ht="12.75">
      <c r="B230" s="1"/>
      <c r="D230" s="2" t="s">
        <v>64</v>
      </c>
      <c r="F230" s="2" t="s">
        <v>65</v>
      </c>
    </row>
    <row r="231" spans="2:6" ht="25.5">
      <c r="B231" s="1" t="s">
        <v>45</v>
      </c>
      <c r="D231" s="72" t="s">
        <v>66</v>
      </c>
      <c r="F231" s="72" t="s">
        <v>66</v>
      </c>
    </row>
    <row r="232" ht="12.75">
      <c r="B232" s="1"/>
    </row>
    <row r="233" spans="2:6" ht="12.75">
      <c r="B233" s="7" t="s">
        <v>46</v>
      </c>
      <c r="D233" s="2">
        <f>'Balance Sheet Notes'!H20</f>
        <v>48500</v>
      </c>
      <c r="F233" s="2">
        <f>'Cash flow notes'!E10</f>
        <v>50000</v>
      </c>
    </row>
    <row r="234" ht="12.75">
      <c r="B234" s="7" t="s">
        <v>179</v>
      </c>
    </row>
    <row r="235" spans="2:6" ht="12.75">
      <c r="B235" s="7" t="s">
        <v>132</v>
      </c>
      <c r="D235" s="2">
        <v>15000</v>
      </c>
      <c r="F235" s="2">
        <v>14000</v>
      </c>
    </row>
    <row r="236" spans="2:6" ht="25.5">
      <c r="B236" s="7" t="s">
        <v>498</v>
      </c>
      <c r="D236" s="2">
        <v>3000</v>
      </c>
      <c r="F236" s="2">
        <v>3000</v>
      </c>
    </row>
    <row r="237" spans="2:6" ht="25.5">
      <c r="B237" s="7" t="s">
        <v>165</v>
      </c>
      <c r="D237" s="2">
        <v>3000</v>
      </c>
      <c r="F237" s="2">
        <f>'Cash flow notes'!E13</f>
        <v>0</v>
      </c>
    </row>
    <row r="238" spans="2:6" ht="13.5" thickBot="1">
      <c r="B238" s="7" t="s">
        <v>47</v>
      </c>
      <c r="D238" s="28">
        <v>50000</v>
      </c>
      <c r="F238" s="28">
        <v>48000</v>
      </c>
    </row>
    <row r="239" ht="12.75">
      <c r="B239" s="1"/>
    </row>
    <row r="240" ht="12.75">
      <c r="B240" s="6"/>
    </row>
    <row r="241" spans="1:2" ht="12.75">
      <c r="A241" s="3">
        <v>14</v>
      </c>
      <c r="B241" s="4" t="s">
        <v>107</v>
      </c>
    </row>
    <row r="242" ht="12.75">
      <c r="B242" s="1"/>
    </row>
    <row r="243" spans="2:7" ht="36.75" customHeight="1">
      <c r="B243" s="79" t="s">
        <v>506</v>
      </c>
      <c r="C243" s="80"/>
      <c r="D243" s="80"/>
      <c r="E243" s="80"/>
      <c r="F243" s="80"/>
      <c r="G243" s="80"/>
    </row>
    <row r="244" ht="12.75">
      <c r="B244" s="1"/>
    </row>
    <row r="245" ht="12.75">
      <c r="B245" s="1"/>
    </row>
    <row r="246" ht="12.75">
      <c r="B246" s="1"/>
    </row>
    <row r="248" ht="12.75">
      <c r="B248" s="1"/>
    </row>
    <row r="249" ht="12.75">
      <c r="B249" s="1"/>
    </row>
    <row r="250" ht="12.75">
      <c r="B250" s="1"/>
    </row>
    <row r="251" ht="12.75">
      <c r="B251" s="1"/>
    </row>
    <row r="252" ht="12.75">
      <c r="B252" s="1"/>
    </row>
    <row r="253" ht="12.75">
      <c r="B253" s="1"/>
    </row>
    <row r="254" ht="12.75">
      <c r="B254" s="1"/>
    </row>
  </sheetData>
  <sheetProtection password="D3F2" sheet="1" formatCells="0" formatColumns="0" formatRows="0" insertColumns="0" insertRows="0" insertHyperlinks="0" deleteColumns="0" deleteRows="0" sort="0" autoFilter="0" pivotTables="0"/>
  <mergeCells count="30">
    <mergeCell ref="B225:G226"/>
    <mergeCell ref="B243:G243"/>
    <mergeCell ref="B209:G209"/>
    <mergeCell ref="B23:H23"/>
    <mergeCell ref="B25:H25"/>
    <mergeCell ref="B26:G26"/>
    <mergeCell ref="E78:G78"/>
    <mergeCell ref="B200:G200"/>
    <mergeCell ref="B116:I116"/>
    <mergeCell ref="B38:H38"/>
    <mergeCell ref="B40:H40"/>
    <mergeCell ref="D190:E190"/>
    <mergeCell ref="I78:J78"/>
    <mergeCell ref="B118:J118"/>
    <mergeCell ref="B16:G16"/>
    <mergeCell ref="B24:G24"/>
    <mergeCell ref="B66:G66"/>
    <mergeCell ref="B76:G76"/>
    <mergeCell ref="B87:G87"/>
    <mergeCell ref="B99:G99"/>
    <mergeCell ref="B211:G220"/>
    <mergeCell ref="B222:G223"/>
    <mergeCell ref="B32:C32"/>
    <mergeCell ref="B33:C33"/>
    <mergeCell ref="B34:C34"/>
    <mergeCell ref="B39:H39"/>
    <mergeCell ref="B147:K148"/>
    <mergeCell ref="B175:K175"/>
    <mergeCell ref="B186:J186"/>
    <mergeCell ref="F190:G190"/>
  </mergeCells>
  <printOptions/>
  <pageMargins left="0.75" right="0.75" top="1" bottom="1" header="0.5" footer="0.5"/>
  <pageSetup horizontalDpi="300" verticalDpi="300" orientation="portrait" paperSize="9" scale="66" r:id="rId1"/>
  <rowBreaks count="3" manualBreakCount="3">
    <brk id="67" max="255" man="1"/>
    <brk id="119" max="255" man="1"/>
    <brk id="175" max="255" man="1"/>
  </rowBreaks>
</worksheet>
</file>

<file path=xl/worksheets/sheet7.xml><?xml version="1.0" encoding="utf-8"?>
<worksheet xmlns="http://schemas.openxmlformats.org/spreadsheetml/2006/main" xmlns:r="http://schemas.openxmlformats.org/officeDocument/2006/relationships">
  <dimension ref="A2:I234"/>
  <sheetViews>
    <sheetView view="pageBreakPreview" zoomScale="110" zoomScaleSheetLayoutView="110" zoomScalePageLayoutView="0" workbookViewId="0" topLeftCell="A72">
      <selection activeCell="D87" sqref="D87"/>
    </sheetView>
  </sheetViews>
  <sheetFormatPr defaultColWidth="9.140625" defaultRowHeight="12.75"/>
  <cols>
    <col min="1" max="1" width="9.421875" style="2" bestFit="1" customWidth="1"/>
    <col min="2" max="2" width="19.7109375" style="2" customWidth="1"/>
    <col min="3" max="3" width="9.140625" style="2" customWidth="1"/>
    <col min="4" max="4" width="13.28125" style="2" bestFit="1" customWidth="1"/>
    <col min="5" max="5" width="12.7109375" style="2" customWidth="1"/>
    <col min="6" max="6" width="12.421875" style="2" customWidth="1"/>
    <col min="7" max="7" width="13.421875" style="2" customWidth="1"/>
    <col min="8" max="8" width="13.421875" style="33" customWidth="1"/>
    <col min="9" max="16384" width="9.140625" style="2" customWidth="1"/>
  </cols>
  <sheetData>
    <row r="2" ht="12.75">
      <c r="B2" s="3" t="s">
        <v>151</v>
      </c>
    </row>
    <row r="4" spans="1:3" ht="15.75" customHeight="1">
      <c r="A4" s="20">
        <v>15</v>
      </c>
      <c r="B4" s="93" t="s">
        <v>68</v>
      </c>
      <c r="C4" s="93"/>
    </row>
    <row r="5" ht="12.75">
      <c r="B5" s="1"/>
    </row>
    <row r="6" ht="12.75">
      <c r="B6" s="1"/>
    </row>
    <row r="7" spans="2:8" ht="25.5">
      <c r="B7" s="8" t="s">
        <v>74</v>
      </c>
      <c r="D7" s="4" t="s">
        <v>108</v>
      </c>
      <c r="E7" s="4" t="s">
        <v>109</v>
      </c>
      <c r="F7" s="4" t="s">
        <v>53</v>
      </c>
      <c r="G7" s="4" t="s">
        <v>180</v>
      </c>
      <c r="H7" s="34" t="s">
        <v>16</v>
      </c>
    </row>
    <row r="8" spans="2:8" ht="12.75">
      <c r="B8" s="7"/>
      <c r="D8" s="72" t="s">
        <v>66</v>
      </c>
      <c r="E8" s="72" t="s">
        <v>66</v>
      </c>
      <c r="F8" s="72" t="s">
        <v>66</v>
      </c>
      <c r="G8" s="72" t="s">
        <v>66</v>
      </c>
      <c r="H8" s="72" t="s">
        <v>66</v>
      </c>
    </row>
    <row r="9" ht="12.75">
      <c r="B9" s="8" t="s">
        <v>76</v>
      </c>
    </row>
    <row r="10" ht="12.75">
      <c r="B10" s="7"/>
    </row>
    <row r="11" spans="2:8" ht="12.75">
      <c r="B11" s="7" t="s">
        <v>77</v>
      </c>
      <c r="D11" s="2">
        <v>2000000</v>
      </c>
      <c r="E11" s="2">
        <v>80000</v>
      </c>
      <c r="F11" s="2">
        <v>10000</v>
      </c>
      <c r="G11" s="2">
        <v>30000</v>
      </c>
      <c r="H11" s="33">
        <f>SUM(D11:G11)</f>
        <v>2120000</v>
      </c>
    </row>
    <row r="12" spans="2:8" ht="12.75">
      <c r="B12" s="7" t="s">
        <v>78</v>
      </c>
      <c r="E12" s="2">
        <v>5000</v>
      </c>
      <c r="F12" s="2">
        <v>3000</v>
      </c>
      <c r="H12" s="33">
        <f>SUM(D12:G12)</f>
        <v>8000</v>
      </c>
    </row>
    <row r="13" spans="2:8" ht="12.75">
      <c r="B13" s="7" t="s">
        <v>79</v>
      </c>
      <c r="G13" s="2">
        <v>-10000</v>
      </c>
      <c r="H13" s="33">
        <f>SUM(D13:G13)</f>
        <v>-10000</v>
      </c>
    </row>
    <row r="14" spans="2:8" ht="12.75">
      <c r="B14" s="7" t="s">
        <v>80</v>
      </c>
      <c r="D14" s="2">
        <v>500000</v>
      </c>
      <c r="H14" s="33">
        <f>SUM(D14:G14)</f>
        <v>500000</v>
      </c>
    </row>
    <row r="15" spans="2:8" s="3" customFormat="1" ht="12.75">
      <c r="B15" s="8" t="s">
        <v>81</v>
      </c>
      <c r="D15" s="13">
        <f>SUM(D11:D14)</f>
        <v>2500000</v>
      </c>
      <c r="E15" s="13">
        <f>SUM(E11:E14)</f>
        <v>85000</v>
      </c>
      <c r="F15" s="13">
        <f>SUM(F11:F14)</f>
        <v>13000</v>
      </c>
      <c r="G15" s="13">
        <f>SUM(G11:G14)</f>
        <v>20000</v>
      </c>
      <c r="H15" s="11">
        <f>SUM(D15:G15)</f>
        <v>2618000</v>
      </c>
    </row>
    <row r="16" ht="12.75">
      <c r="B16" s="7"/>
    </row>
    <row r="17" ht="12.75">
      <c r="B17" s="8" t="s">
        <v>46</v>
      </c>
    </row>
    <row r="18" ht="12.75">
      <c r="B18" s="7"/>
    </row>
    <row r="19" spans="2:8" ht="12.75">
      <c r="B19" s="7" t="s">
        <v>77</v>
      </c>
      <c r="D19" s="2">
        <v>100000</v>
      </c>
      <c r="E19" s="2">
        <v>45000</v>
      </c>
      <c r="F19" s="2">
        <v>8000</v>
      </c>
      <c r="G19" s="2">
        <v>11000</v>
      </c>
      <c r="H19" s="33">
        <f>SUM(D19:G19)</f>
        <v>164000</v>
      </c>
    </row>
    <row r="20" spans="2:8" ht="12.75">
      <c r="B20" s="7" t="s">
        <v>82</v>
      </c>
      <c r="D20" s="2">
        <v>25000</v>
      </c>
      <c r="E20" s="2">
        <v>12500</v>
      </c>
      <c r="F20" s="2">
        <v>2500</v>
      </c>
      <c r="G20" s="2">
        <v>8500</v>
      </c>
      <c r="H20" s="33">
        <f>SUM(D20:G20)</f>
        <v>48500</v>
      </c>
    </row>
    <row r="21" spans="2:8" ht="25.5">
      <c r="B21" s="7" t="s">
        <v>83</v>
      </c>
      <c r="G21" s="2">
        <v>-2500</v>
      </c>
      <c r="H21" s="33">
        <f>SUM(D21:G21)</f>
        <v>-2500</v>
      </c>
    </row>
    <row r="22" spans="2:8" ht="25.5">
      <c r="B22" s="7" t="s">
        <v>84</v>
      </c>
      <c r="H22" s="33">
        <f>SUM(D22:G22)</f>
        <v>0</v>
      </c>
    </row>
    <row r="23" spans="2:8" s="3" customFormat="1" ht="12.75">
      <c r="B23" s="8" t="s">
        <v>81</v>
      </c>
      <c r="D23" s="13">
        <f>SUM(D19:D22)</f>
        <v>125000</v>
      </c>
      <c r="E23" s="13">
        <f>SUM(E19:E22)</f>
        <v>57500</v>
      </c>
      <c r="F23" s="13">
        <f>SUM(F19:F22)</f>
        <v>10500</v>
      </c>
      <c r="G23" s="13">
        <f>SUM(G19:G22)</f>
        <v>17000</v>
      </c>
      <c r="H23" s="11">
        <f>SUM(D23:G23)</f>
        <v>210000</v>
      </c>
    </row>
    <row r="24" ht="12.75">
      <c r="B24" s="7"/>
    </row>
    <row r="25" spans="2:8" s="3" customFormat="1" ht="26.25" thickBot="1">
      <c r="B25" s="8" t="s">
        <v>85</v>
      </c>
      <c r="D25" s="9">
        <f>D15-D23</f>
        <v>2375000</v>
      </c>
      <c r="E25" s="9">
        <f>E15-E23</f>
        <v>27500</v>
      </c>
      <c r="F25" s="9">
        <f>F15-F23</f>
        <v>2500</v>
      </c>
      <c r="G25" s="9">
        <f>G15-G23</f>
        <v>3000</v>
      </c>
      <c r="H25" s="35">
        <f>H15-H23</f>
        <v>2408000</v>
      </c>
    </row>
    <row r="26" ht="13.5" thickTop="1">
      <c r="B26" s="7"/>
    </row>
    <row r="27" spans="2:8" ht="26.25" thickBot="1">
      <c r="B27" s="7" t="s">
        <v>86</v>
      </c>
      <c r="D27" s="10">
        <f>D11-D19</f>
        <v>1900000</v>
      </c>
      <c r="E27" s="10">
        <f>E11-E19</f>
        <v>35000</v>
      </c>
      <c r="F27" s="10">
        <f>F11-F19</f>
        <v>2000</v>
      </c>
      <c r="G27" s="10">
        <f>G11-G19</f>
        <v>19000</v>
      </c>
      <c r="H27" s="35">
        <f>H11-H19</f>
        <v>1956000</v>
      </c>
    </row>
    <row r="28" ht="13.5" thickTop="1">
      <c r="B28" s="1"/>
    </row>
    <row r="29" spans="2:8" ht="25.5">
      <c r="B29" s="8" t="s">
        <v>75</v>
      </c>
      <c r="D29" s="4" t="s">
        <v>108</v>
      </c>
      <c r="E29" s="4" t="s">
        <v>109</v>
      </c>
      <c r="F29" s="4" t="s">
        <v>53</v>
      </c>
      <c r="G29" s="4" t="s">
        <v>180</v>
      </c>
      <c r="H29" s="34" t="s">
        <v>16</v>
      </c>
    </row>
    <row r="30" spans="2:8" ht="12.75">
      <c r="B30" s="1"/>
      <c r="D30" s="72" t="s">
        <v>66</v>
      </c>
      <c r="E30" s="72" t="s">
        <v>66</v>
      </c>
      <c r="F30" s="72" t="s">
        <v>66</v>
      </c>
      <c r="G30" s="72" t="s">
        <v>66</v>
      </c>
      <c r="H30" s="72" t="s">
        <v>66</v>
      </c>
    </row>
    <row r="31" spans="2:8" s="3" customFormat="1" ht="12.75">
      <c r="B31" s="8" t="s">
        <v>76</v>
      </c>
      <c r="H31" s="33"/>
    </row>
    <row r="32" ht="12.75">
      <c r="B32" s="7"/>
    </row>
    <row r="33" spans="2:8" ht="12.75">
      <c r="B33" s="7" t="s">
        <v>77</v>
      </c>
      <c r="D33" s="2">
        <v>2000000</v>
      </c>
      <c r="E33" s="2">
        <v>50000</v>
      </c>
      <c r="F33" s="2">
        <v>10000</v>
      </c>
      <c r="G33" s="2">
        <v>22500</v>
      </c>
      <c r="H33" s="33">
        <f>SUM(D33:G33)</f>
        <v>2082500</v>
      </c>
    </row>
    <row r="34" spans="2:8" ht="12.75">
      <c r="B34" s="7" t="s">
        <v>78</v>
      </c>
      <c r="E34" s="2">
        <v>5000</v>
      </c>
      <c r="F34" s="2">
        <v>3000</v>
      </c>
      <c r="H34" s="33">
        <f>SUM(D34:G34)</f>
        <v>8000</v>
      </c>
    </row>
    <row r="35" spans="2:8" ht="12.75">
      <c r="B35" s="7" t="s">
        <v>79</v>
      </c>
      <c r="G35" s="2">
        <v>-10000</v>
      </c>
      <c r="H35" s="33">
        <f>SUM(D35:G35)</f>
        <v>-10000</v>
      </c>
    </row>
    <row r="36" spans="2:8" ht="12.75">
      <c r="B36" s="7" t="s">
        <v>80</v>
      </c>
      <c r="D36" s="2">
        <v>500000</v>
      </c>
      <c r="H36" s="33">
        <f>SUM(D36:G36)</f>
        <v>500000</v>
      </c>
    </row>
    <row r="37" spans="2:8" s="3" customFormat="1" ht="12.75">
      <c r="B37" s="8" t="s">
        <v>81</v>
      </c>
      <c r="D37" s="3">
        <f>SUM(D33:D36)</f>
        <v>2500000</v>
      </c>
      <c r="E37" s="3">
        <f>SUM(E33:E36)</f>
        <v>55000</v>
      </c>
      <c r="F37" s="3">
        <f>SUM(F33:F36)</f>
        <v>13000</v>
      </c>
      <c r="G37" s="3">
        <f>SUM(G33:G36)</f>
        <v>12500</v>
      </c>
      <c r="H37" s="33">
        <f>SUM(D37:G37)</f>
        <v>2580500</v>
      </c>
    </row>
    <row r="38" ht="12.75">
      <c r="B38" s="7"/>
    </row>
    <row r="39" spans="2:8" s="3" customFormat="1" ht="12.75">
      <c r="B39" s="8" t="s">
        <v>46</v>
      </c>
      <c r="H39" s="33"/>
    </row>
    <row r="40" ht="12.75">
      <c r="B40" s="7"/>
    </row>
    <row r="41" spans="2:8" ht="12.75">
      <c r="B41" s="7" t="s">
        <v>77</v>
      </c>
      <c r="D41" s="2">
        <v>100000</v>
      </c>
      <c r="E41" s="2">
        <v>20000</v>
      </c>
      <c r="F41" s="2">
        <v>8000</v>
      </c>
      <c r="G41" s="2">
        <v>9000</v>
      </c>
      <c r="H41" s="33">
        <f>SUM(D41:G41)</f>
        <v>137000</v>
      </c>
    </row>
    <row r="42" spans="2:8" ht="12.75">
      <c r="B42" s="7" t="s">
        <v>82</v>
      </c>
      <c r="D42" s="2">
        <v>25000</v>
      </c>
      <c r="E42" s="2">
        <v>12500</v>
      </c>
      <c r="F42" s="2">
        <v>2500</v>
      </c>
      <c r="G42" s="2">
        <v>5000</v>
      </c>
      <c r="H42" s="33">
        <f>SUM(D42:G42)</f>
        <v>45000</v>
      </c>
    </row>
    <row r="43" spans="2:8" ht="25.5">
      <c r="B43" s="7" t="s">
        <v>83</v>
      </c>
      <c r="G43" s="2">
        <v>-2500</v>
      </c>
      <c r="H43" s="33">
        <f>SUM(D43:G43)</f>
        <v>-2500</v>
      </c>
    </row>
    <row r="44" spans="2:8" ht="25.5">
      <c r="B44" s="7" t="s">
        <v>84</v>
      </c>
      <c r="H44" s="33">
        <f>SUM(D44:G44)</f>
        <v>0</v>
      </c>
    </row>
    <row r="45" spans="2:8" s="3" customFormat="1" ht="12.75">
      <c r="B45" s="8" t="s">
        <v>81</v>
      </c>
      <c r="D45" s="3">
        <f>SUM(D41:D44)</f>
        <v>125000</v>
      </c>
      <c r="E45" s="3">
        <f>SUM(E41:E44)</f>
        <v>32500</v>
      </c>
      <c r="F45" s="3">
        <f>SUM(F41:F44)</f>
        <v>10500</v>
      </c>
      <c r="G45" s="3">
        <f>SUM(G41:G44)</f>
        <v>11500</v>
      </c>
      <c r="H45" s="33">
        <f>SUM(D45:G45)</f>
        <v>179500</v>
      </c>
    </row>
    <row r="46" ht="12.75">
      <c r="B46" s="7"/>
    </row>
    <row r="47" spans="2:8" s="3" customFormat="1" ht="26.25" thickBot="1">
      <c r="B47" s="8" t="s">
        <v>85</v>
      </c>
      <c r="D47" s="9">
        <f>D37-D45</f>
        <v>2375000</v>
      </c>
      <c r="E47" s="9">
        <f>E37-E45</f>
        <v>22500</v>
      </c>
      <c r="F47" s="9">
        <f>F37-F45</f>
        <v>2500</v>
      </c>
      <c r="G47" s="9">
        <f>G37-G45</f>
        <v>1000</v>
      </c>
      <c r="H47" s="35">
        <f>H37-H45</f>
        <v>2401000</v>
      </c>
    </row>
    <row r="48" ht="13.5" thickTop="1">
      <c r="B48" s="1"/>
    </row>
    <row r="49" spans="2:8" ht="26.25" thickBot="1">
      <c r="B49" s="1" t="s">
        <v>86</v>
      </c>
      <c r="D49" s="10">
        <f>D33-D41</f>
        <v>1900000</v>
      </c>
      <c r="E49" s="10">
        <f>E33-E41</f>
        <v>30000</v>
      </c>
      <c r="F49" s="10">
        <f>F33-F41</f>
        <v>2000</v>
      </c>
      <c r="G49" s="10">
        <f>G33-G41</f>
        <v>13500</v>
      </c>
      <c r="H49" s="35">
        <f>H33-H41</f>
        <v>1945500</v>
      </c>
    </row>
    <row r="50" ht="13.5" thickTop="1">
      <c r="B50" s="1"/>
    </row>
    <row r="51" spans="2:8" ht="46.5" customHeight="1">
      <c r="B51" s="88" t="s">
        <v>415</v>
      </c>
      <c r="C51" s="80"/>
      <c r="D51" s="80"/>
      <c r="E51" s="80"/>
      <c r="F51" s="80"/>
      <c r="G51" s="80"/>
      <c r="H51" s="80"/>
    </row>
    <row r="52" spans="2:8" ht="30" customHeight="1">
      <c r="B52" s="79" t="s">
        <v>432</v>
      </c>
      <c r="C52" s="80"/>
      <c r="D52" s="80"/>
      <c r="E52" s="80"/>
      <c r="F52" s="80"/>
      <c r="G52" s="80"/>
      <c r="H52" s="80"/>
    </row>
    <row r="53" spans="1:2" ht="12.75">
      <c r="A53" s="20">
        <v>16</v>
      </c>
      <c r="B53" s="8" t="s">
        <v>17</v>
      </c>
    </row>
    <row r="54" ht="12.75">
      <c r="B54" s="1"/>
    </row>
    <row r="55" spans="1:6" ht="12.75">
      <c r="A55" s="2" t="s">
        <v>116</v>
      </c>
      <c r="B55" s="1"/>
      <c r="D55" s="5" t="s">
        <v>74</v>
      </c>
      <c r="F55" s="5" t="s">
        <v>75</v>
      </c>
    </row>
    <row r="56" spans="2:6" ht="12.75">
      <c r="B56" s="1"/>
      <c r="D56" s="72" t="s">
        <v>66</v>
      </c>
      <c r="E56" s="70"/>
      <c r="F56" s="72" t="s">
        <v>66</v>
      </c>
    </row>
    <row r="57" spans="2:6" ht="12.75">
      <c r="B57" s="7" t="s">
        <v>114</v>
      </c>
      <c r="D57" s="2">
        <v>1000000</v>
      </c>
      <c r="F57" s="2">
        <v>1000002</v>
      </c>
    </row>
    <row r="58" spans="2:6" ht="12.75">
      <c r="B58" s="7" t="s">
        <v>78</v>
      </c>
      <c r="D58" s="2">
        <v>50000</v>
      </c>
      <c r="F58" s="2">
        <v>50000</v>
      </c>
    </row>
    <row r="59" spans="2:6" ht="12.75">
      <c r="B59" s="7" t="s">
        <v>79</v>
      </c>
      <c r="D59" s="2">
        <v>-40000</v>
      </c>
      <c r="F59" s="2">
        <v>-40000</v>
      </c>
    </row>
    <row r="60" spans="2:6" ht="25.5">
      <c r="B60" s="7" t="s">
        <v>118</v>
      </c>
      <c r="D60" s="2">
        <v>150000</v>
      </c>
      <c r="F60" s="2">
        <v>150000</v>
      </c>
    </row>
    <row r="61" spans="2:6" ht="12.75">
      <c r="B61" s="7" t="s">
        <v>115</v>
      </c>
      <c r="D61" s="13">
        <f>SUM(D57:D60)</f>
        <v>1160000</v>
      </c>
      <c r="E61" s="3"/>
      <c r="F61" s="13">
        <f>SUM(F57:F60)</f>
        <v>1160002</v>
      </c>
    </row>
    <row r="62" spans="2:8" s="32" customFormat="1" ht="12.75">
      <c r="B62" s="39"/>
      <c r="D62" s="37"/>
      <c r="H62" s="33"/>
    </row>
    <row r="63" ht="12.75">
      <c r="B63" s="1"/>
    </row>
    <row r="64" spans="1:6" ht="25.5">
      <c r="A64" s="2" t="s">
        <v>117</v>
      </c>
      <c r="B64" s="7" t="s">
        <v>555</v>
      </c>
      <c r="D64" s="2" t="s">
        <v>64</v>
      </c>
      <c r="F64" s="2" t="s">
        <v>65</v>
      </c>
    </row>
    <row r="65" spans="2:6" ht="12.75">
      <c r="B65" s="7"/>
      <c r="D65" s="72" t="s">
        <v>66</v>
      </c>
      <c r="F65" s="72" t="s">
        <v>66</v>
      </c>
    </row>
    <row r="66" spans="2:6" ht="12.75">
      <c r="B66" s="7" t="s">
        <v>325</v>
      </c>
      <c r="D66" s="2">
        <v>250000</v>
      </c>
      <c r="F66" s="2">
        <v>250000</v>
      </c>
    </row>
    <row r="67" spans="2:6" ht="12.75">
      <c r="B67" s="7" t="s">
        <v>480</v>
      </c>
      <c r="D67" s="2">
        <v>835000</v>
      </c>
      <c r="F67" s="2">
        <v>660000</v>
      </c>
    </row>
    <row r="68" spans="2:6" ht="25.5">
      <c r="B68" s="7" t="s">
        <v>504</v>
      </c>
      <c r="D68" s="2">
        <v>30000</v>
      </c>
      <c r="F68" s="2">
        <v>50000</v>
      </c>
    </row>
    <row r="69" spans="2:6" ht="38.25">
      <c r="B69" s="7" t="s">
        <v>119</v>
      </c>
      <c r="D69" s="22">
        <v>45000</v>
      </c>
      <c r="F69" s="22">
        <v>40000</v>
      </c>
    </row>
    <row r="70" ht="12.75">
      <c r="B70" s="7"/>
    </row>
    <row r="71" spans="2:6" ht="12.75">
      <c r="B71" s="7" t="s">
        <v>556</v>
      </c>
      <c r="D71" s="3">
        <f>SUM(D66:D69)</f>
        <v>1160000</v>
      </c>
      <c r="E71" s="3"/>
      <c r="F71" s="3">
        <f>SUM(F66:F69)</f>
        <v>1000000</v>
      </c>
    </row>
    <row r="72" spans="2:8" s="32" customFormat="1" ht="12.75">
      <c r="B72" s="40"/>
      <c r="H72" s="33"/>
    </row>
    <row r="73" spans="2:6" ht="25.5">
      <c r="B73" s="7" t="s">
        <v>324</v>
      </c>
      <c r="D73" s="2">
        <v>2</v>
      </c>
      <c r="F73" s="2">
        <v>2</v>
      </c>
    </row>
    <row r="74" ht="12.75">
      <c r="B74" s="7"/>
    </row>
    <row r="75" spans="2:6" ht="13.5" thickBot="1">
      <c r="B75" s="7" t="s">
        <v>120</v>
      </c>
      <c r="D75" s="9">
        <f>D71+D73</f>
        <v>1160002</v>
      </c>
      <c r="E75" s="3"/>
      <c r="F75" s="9">
        <f>F71+F73</f>
        <v>1000002</v>
      </c>
    </row>
    <row r="76" spans="2:8" s="32" customFormat="1" ht="13.5" thickTop="1">
      <c r="B76" s="39"/>
      <c r="H76" s="33"/>
    </row>
    <row r="77" ht="12.75">
      <c r="B77" s="1"/>
    </row>
    <row r="78" spans="2:4" ht="17.25" customHeight="1">
      <c r="B78" s="92" t="s">
        <v>121</v>
      </c>
      <c r="C78" s="92"/>
      <c r="D78" s="92"/>
    </row>
    <row r="79" spans="2:6" ht="69.75" customHeight="1">
      <c r="B79" s="79" t="s">
        <v>557</v>
      </c>
      <c r="C79" s="90"/>
      <c r="D79" s="90"/>
      <c r="E79" s="90"/>
      <c r="F79" s="90"/>
    </row>
    <row r="80" spans="2:6" ht="28.5" customHeight="1">
      <c r="B80" s="85" t="s">
        <v>186</v>
      </c>
      <c r="C80" s="85"/>
      <c r="D80" s="85"/>
      <c r="E80" s="85"/>
      <c r="F80" s="85"/>
    </row>
    <row r="81" ht="12.75">
      <c r="B81" s="1"/>
    </row>
    <row r="82" spans="1:2" ht="12.75">
      <c r="A82" s="2" t="s">
        <v>122</v>
      </c>
      <c r="B82" s="7" t="s">
        <v>558</v>
      </c>
    </row>
    <row r="83" ht="12.75">
      <c r="B83" s="1"/>
    </row>
    <row r="84" spans="2:6" ht="94.5" customHeight="1">
      <c r="B84" s="79" t="s">
        <v>425</v>
      </c>
      <c r="C84" s="90"/>
      <c r="D84" s="90"/>
      <c r="E84" s="90"/>
      <c r="F84" s="90"/>
    </row>
    <row r="85" ht="12.75">
      <c r="B85" s="1"/>
    </row>
    <row r="86" ht="12.75">
      <c r="B86" s="5" t="s">
        <v>559</v>
      </c>
    </row>
    <row r="87" spans="2:6" ht="12.75">
      <c r="B87" s="7"/>
      <c r="D87" s="3" t="s">
        <v>64</v>
      </c>
      <c r="F87" s="2" t="s">
        <v>65</v>
      </c>
    </row>
    <row r="88" spans="2:6" ht="12.75">
      <c r="B88" s="7"/>
      <c r="D88" s="72" t="s">
        <v>66</v>
      </c>
      <c r="F88" s="72" t="s">
        <v>66</v>
      </c>
    </row>
    <row r="89" spans="2:6" ht="12.75">
      <c r="B89" s="7" t="s">
        <v>123</v>
      </c>
      <c r="D89" s="3">
        <f>50000+8750-1000</f>
        <v>57750</v>
      </c>
      <c r="F89" s="2">
        <f>45000+8750-1000</f>
        <v>52750</v>
      </c>
    </row>
    <row r="90" spans="2:6" ht="12.75">
      <c r="B90" s="7" t="s">
        <v>560</v>
      </c>
      <c r="D90" s="21">
        <v>-11000</v>
      </c>
      <c r="F90" s="22">
        <v>-10000</v>
      </c>
    </row>
    <row r="91" spans="2:6" ht="12.75">
      <c r="B91" s="7" t="s">
        <v>561</v>
      </c>
      <c r="D91" s="3">
        <f>D89+D90</f>
        <v>46750</v>
      </c>
      <c r="F91" s="2">
        <f>F89+F90</f>
        <v>42750</v>
      </c>
    </row>
    <row r="92" spans="2:6" ht="12.75">
      <c r="B92" s="7" t="s">
        <v>562</v>
      </c>
      <c r="D92" s="21">
        <v>-2500</v>
      </c>
      <c r="F92" s="22">
        <v>2400</v>
      </c>
    </row>
    <row r="93" spans="2:6" ht="39.75" customHeight="1">
      <c r="B93" s="7" t="s">
        <v>414</v>
      </c>
      <c r="D93" s="3">
        <f>D91+D92</f>
        <v>44250</v>
      </c>
      <c r="F93" s="2">
        <f>F91+F92</f>
        <v>45150</v>
      </c>
    </row>
    <row r="94" spans="2:6" ht="38.25">
      <c r="B94" s="7" t="s">
        <v>472</v>
      </c>
      <c r="D94" s="3">
        <v>-8750</v>
      </c>
      <c r="F94" s="2">
        <v>-8750</v>
      </c>
    </row>
    <row r="95" spans="2:6" ht="12.75">
      <c r="B95" s="7" t="s">
        <v>124</v>
      </c>
      <c r="D95" s="21">
        <v>300</v>
      </c>
      <c r="F95" s="22">
        <v>700</v>
      </c>
    </row>
    <row r="96" spans="2:6" ht="12.75">
      <c r="B96" s="7" t="s">
        <v>125</v>
      </c>
      <c r="D96" s="3">
        <f>D93+D95+D94</f>
        <v>35800</v>
      </c>
      <c r="F96" s="2">
        <f>F93+F95+F94</f>
        <v>37100</v>
      </c>
    </row>
    <row r="97" spans="2:6" ht="25.5">
      <c r="B97" s="7" t="s">
        <v>126</v>
      </c>
      <c r="D97" s="21">
        <f>-D96</f>
        <v>-35800</v>
      </c>
      <c r="F97" s="22">
        <f>-F96</f>
        <v>-37100</v>
      </c>
    </row>
    <row r="98" spans="2:6" ht="51.75" thickBot="1">
      <c r="B98" s="7" t="s">
        <v>426</v>
      </c>
      <c r="D98" s="9">
        <f>D96+D97</f>
        <v>0</v>
      </c>
      <c r="F98" s="10">
        <f>F96+F97</f>
        <v>0</v>
      </c>
    </row>
    <row r="99" spans="2:4" ht="13.5" thickTop="1">
      <c r="B99" s="7"/>
      <c r="D99" s="3"/>
    </row>
    <row r="100" spans="2:4" ht="12.75">
      <c r="B100" s="7" t="s">
        <v>563</v>
      </c>
      <c r="D100" s="3"/>
    </row>
    <row r="101" spans="2:4" ht="12.75">
      <c r="B101" s="7"/>
      <c r="D101" s="3"/>
    </row>
    <row r="102" spans="2:6" ht="12.75">
      <c r="B102" s="7" t="s">
        <v>127</v>
      </c>
      <c r="D102" s="3">
        <v>10000</v>
      </c>
      <c r="F102" s="2">
        <v>1000</v>
      </c>
    </row>
    <row r="103" spans="2:6" ht="12.75">
      <c r="B103" s="7" t="s">
        <v>128</v>
      </c>
      <c r="D103" s="3">
        <v>-9998</v>
      </c>
      <c r="F103" s="2">
        <v>-9998</v>
      </c>
    </row>
    <row r="104" spans="2:6" ht="13.5" thickBot="1">
      <c r="B104" s="7" t="s">
        <v>564</v>
      </c>
      <c r="D104" s="9">
        <f>D102+D103</f>
        <v>2</v>
      </c>
      <c r="F104" s="10">
        <f>F102+F103</f>
        <v>-8998</v>
      </c>
    </row>
    <row r="105" spans="2:4" ht="13.5" thickTop="1">
      <c r="B105" s="7" t="s">
        <v>131</v>
      </c>
      <c r="D105" s="3"/>
    </row>
    <row r="106" spans="2:6" ht="12.75">
      <c r="B106" s="7" t="s">
        <v>129</v>
      </c>
      <c r="D106" s="3">
        <v>2</v>
      </c>
      <c r="F106" s="2">
        <v>2</v>
      </c>
    </row>
    <row r="107" spans="2:6" ht="12.75">
      <c r="B107" s="7" t="s">
        <v>130</v>
      </c>
      <c r="D107" s="3">
        <v>0</v>
      </c>
      <c r="F107" s="2">
        <v>0</v>
      </c>
    </row>
    <row r="108" spans="2:6" ht="13.5" thickBot="1">
      <c r="B108" s="1"/>
      <c r="D108" s="9">
        <f>D106+D107</f>
        <v>2</v>
      </c>
      <c r="F108" s="10">
        <f>F106+F107</f>
        <v>2</v>
      </c>
    </row>
    <row r="109" ht="13.5" thickTop="1">
      <c r="B109" s="1"/>
    </row>
    <row r="110" ht="12.75">
      <c r="B110" s="1"/>
    </row>
    <row r="111" spans="2:7" ht="12.75">
      <c r="B111" s="1"/>
      <c r="D111" s="20" t="s">
        <v>74</v>
      </c>
      <c r="E111" s="5"/>
      <c r="F111" s="20" t="s">
        <v>75</v>
      </c>
      <c r="G111" s="5"/>
    </row>
    <row r="112" spans="2:7" ht="12.75">
      <c r="B112" s="1"/>
      <c r="D112" s="20"/>
      <c r="E112" s="5"/>
      <c r="F112" s="20"/>
      <c r="G112" s="5"/>
    </row>
    <row r="113" spans="1:7" ht="12.75">
      <c r="A113" s="3">
        <v>17</v>
      </c>
      <c r="B113" s="8" t="s">
        <v>20</v>
      </c>
      <c r="D113" s="8" t="s">
        <v>64</v>
      </c>
      <c r="E113" s="7" t="s">
        <v>65</v>
      </c>
      <c r="F113" s="8" t="s">
        <v>64</v>
      </c>
      <c r="G113" s="7" t="s">
        <v>65</v>
      </c>
    </row>
    <row r="114" spans="2:7" ht="12.75">
      <c r="B114" s="7"/>
      <c r="D114" s="69" t="s">
        <v>66</v>
      </c>
      <c r="E114" s="70" t="s">
        <v>66</v>
      </c>
      <c r="F114" s="69" t="s">
        <v>66</v>
      </c>
      <c r="G114" s="70" t="s">
        <v>66</v>
      </c>
    </row>
    <row r="115" spans="2:7" ht="12.75">
      <c r="B115" s="7" t="s">
        <v>87</v>
      </c>
      <c r="D115" s="3">
        <v>51000</v>
      </c>
      <c r="E115" s="31">
        <v>46000</v>
      </c>
      <c r="F115" s="3">
        <v>50000</v>
      </c>
      <c r="G115" s="31">
        <v>45000</v>
      </c>
    </row>
    <row r="116" spans="2:7" ht="25.5">
      <c r="B116" s="7" t="s">
        <v>88</v>
      </c>
      <c r="D116" s="3">
        <v>0</v>
      </c>
      <c r="E116" s="31">
        <v>0</v>
      </c>
      <c r="F116" s="3">
        <v>12000</v>
      </c>
      <c r="G116" s="31">
        <v>9000</v>
      </c>
    </row>
    <row r="117" spans="2:7" ht="12.75">
      <c r="B117" s="7" t="s">
        <v>89</v>
      </c>
      <c r="D117" s="3">
        <v>18000</v>
      </c>
      <c r="E117" s="31">
        <v>14000</v>
      </c>
      <c r="F117" s="3">
        <v>18000</v>
      </c>
      <c r="G117" s="31">
        <v>14000</v>
      </c>
    </row>
    <row r="118" spans="2:7" ht="12.75">
      <c r="B118" s="7" t="s">
        <v>90</v>
      </c>
      <c r="D118" s="3">
        <v>3000</v>
      </c>
      <c r="E118" s="31">
        <v>3500</v>
      </c>
      <c r="F118" s="3">
        <v>3000</v>
      </c>
      <c r="G118" s="31">
        <v>3500</v>
      </c>
    </row>
    <row r="119" spans="2:7" ht="12.75">
      <c r="B119" s="7" t="s">
        <v>91</v>
      </c>
      <c r="D119" s="3">
        <v>4000</v>
      </c>
      <c r="E119" s="31">
        <v>3700</v>
      </c>
      <c r="F119" s="3">
        <v>4000</v>
      </c>
      <c r="G119" s="31">
        <v>3700</v>
      </c>
    </row>
    <row r="120" spans="2:7" ht="12.75">
      <c r="B120" s="7" t="s">
        <v>92</v>
      </c>
      <c r="D120" s="3">
        <v>2000</v>
      </c>
      <c r="E120" s="31">
        <v>0</v>
      </c>
      <c r="F120" s="3">
        <v>2000</v>
      </c>
      <c r="G120" s="31">
        <v>0</v>
      </c>
    </row>
    <row r="121" ht="12.75">
      <c r="B121" s="1"/>
    </row>
    <row r="122" spans="1:7" ht="13.5" thickBot="1">
      <c r="A122" s="3"/>
      <c r="B122" s="4"/>
      <c r="C122" s="3"/>
      <c r="D122" s="9">
        <f>SUM(D115:D120)</f>
        <v>78000</v>
      </c>
      <c r="E122" s="9">
        <f>SUM(E115:E120)</f>
        <v>67200</v>
      </c>
      <c r="F122" s="9">
        <f>SUM(F115:F120)</f>
        <v>89000</v>
      </c>
      <c r="G122" s="9">
        <f>SUM(G115:G120)</f>
        <v>75200</v>
      </c>
    </row>
    <row r="123" spans="2:8" s="32" customFormat="1" ht="13.5" thickTop="1">
      <c r="B123" s="39"/>
      <c r="H123" s="33"/>
    </row>
    <row r="124" spans="1:7" ht="40.5" customHeight="1">
      <c r="A124" s="20">
        <v>18</v>
      </c>
      <c r="B124" s="94" t="s">
        <v>169</v>
      </c>
      <c r="C124" s="90"/>
      <c r="D124" s="69" t="s">
        <v>66</v>
      </c>
      <c r="E124" s="70" t="s">
        <v>66</v>
      </c>
      <c r="F124" s="69" t="s">
        <v>66</v>
      </c>
      <c r="G124" s="70" t="s">
        <v>66</v>
      </c>
    </row>
    <row r="125" ht="12.75">
      <c r="B125" s="1"/>
    </row>
    <row r="126" spans="2:7" ht="12.75">
      <c r="B126" s="7" t="s">
        <v>93</v>
      </c>
      <c r="D126" s="3">
        <v>125000</v>
      </c>
      <c r="E126" s="31">
        <v>116000</v>
      </c>
      <c r="F126" s="3">
        <v>125000</v>
      </c>
      <c r="G126" s="31">
        <v>116000</v>
      </c>
    </row>
    <row r="127" spans="2:7" ht="25.5">
      <c r="B127" s="7" t="s">
        <v>412</v>
      </c>
      <c r="D127" s="3">
        <v>60000</v>
      </c>
      <c r="E127" s="31">
        <v>58000</v>
      </c>
      <c r="F127" s="3">
        <v>60000</v>
      </c>
      <c r="G127" s="31">
        <v>58000</v>
      </c>
    </row>
    <row r="128" spans="2:7" ht="12.75">
      <c r="B128" s="7" t="s">
        <v>94</v>
      </c>
      <c r="D128" s="3">
        <v>6500</v>
      </c>
      <c r="E128" s="31">
        <v>7200</v>
      </c>
      <c r="F128" s="3">
        <v>6500</v>
      </c>
      <c r="G128" s="31">
        <v>7200</v>
      </c>
    </row>
    <row r="129" spans="2:7" ht="12.75">
      <c r="B129" s="7" t="s">
        <v>95</v>
      </c>
      <c r="D129" s="3">
        <v>27000</v>
      </c>
      <c r="E129" s="31">
        <v>23000</v>
      </c>
      <c r="F129" s="3">
        <v>19000</v>
      </c>
      <c r="G129" s="31">
        <v>17000</v>
      </c>
    </row>
    <row r="130" spans="2:7" ht="12.75">
      <c r="B130" s="7" t="s">
        <v>96</v>
      </c>
      <c r="D130" s="3">
        <v>8000</v>
      </c>
      <c r="E130" s="31">
        <v>7000</v>
      </c>
      <c r="F130" s="3">
        <v>8000</v>
      </c>
      <c r="G130" s="31">
        <v>7000</v>
      </c>
    </row>
    <row r="131" ht="12.75">
      <c r="B131" s="1"/>
    </row>
    <row r="132" spans="1:7" ht="13.5" thickBot="1">
      <c r="A132" s="3"/>
      <c r="B132" s="4"/>
      <c r="C132" s="3"/>
      <c r="D132" s="9">
        <f>SUM(D126:D130)</f>
        <v>226500</v>
      </c>
      <c r="E132" s="9">
        <f>SUM(E126:E130)</f>
        <v>211200</v>
      </c>
      <c r="F132" s="9">
        <f>SUM(F126:F130)</f>
        <v>218500</v>
      </c>
      <c r="G132" s="9">
        <f>SUM(G126:G130)</f>
        <v>205200</v>
      </c>
    </row>
    <row r="133" spans="1:7" ht="13.5" thickTop="1">
      <c r="A133" s="3"/>
      <c r="B133" s="4"/>
      <c r="C133" s="3"/>
      <c r="D133" s="24"/>
      <c r="E133" s="24"/>
      <c r="F133" s="24"/>
      <c r="G133" s="24"/>
    </row>
    <row r="134" spans="1:7" ht="25.5">
      <c r="A134" s="3"/>
      <c r="B134" s="8" t="s">
        <v>416</v>
      </c>
      <c r="C134" s="3"/>
      <c r="D134" s="69" t="s">
        <v>66</v>
      </c>
      <c r="E134" s="70" t="s">
        <v>66</v>
      </c>
      <c r="F134" s="69" t="s">
        <v>66</v>
      </c>
      <c r="G134" s="70" t="s">
        <v>66</v>
      </c>
    </row>
    <row r="135" spans="1:7" ht="12.75">
      <c r="A135" s="3"/>
      <c r="B135" s="8"/>
      <c r="C135" s="3"/>
      <c r="D135" s="24"/>
      <c r="E135" s="24"/>
      <c r="F135" s="24"/>
      <c r="G135" s="24"/>
    </row>
    <row r="136" spans="1:7" ht="25.5">
      <c r="A136" s="3"/>
      <c r="B136" s="7" t="s">
        <v>417</v>
      </c>
      <c r="C136" s="3"/>
      <c r="D136" s="24">
        <v>7000</v>
      </c>
      <c r="E136" s="54">
        <v>5000</v>
      </c>
      <c r="F136" s="24">
        <v>7000</v>
      </c>
      <c r="G136" s="54">
        <v>5000</v>
      </c>
    </row>
    <row r="137" spans="1:7" ht="38.25">
      <c r="A137" s="3"/>
      <c r="B137" s="7" t="s">
        <v>418</v>
      </c>
      <c r="C137" s="3"/>
      <c r="D137" s="24">
        <v>-7000</v>
      </c>
      <c r="E137" s="54">
        <v>-5000</v>
      </c>
      <c r="F137" s="24">
        <v>-7000</v>
      </c>
      <c r="G137" s="54">
        <v>-5000</v>
      </c>
    </row>
    <row r="138" spans="1:7" ht="25.5">
      <c r="A138" s="3"/>
      <c r="B138" s="7" t="s">
        <v>420</v>
      </c>
      <c r="C138" s="3"/>
      <c r="D138" s="24">
        <v>8000</v>
      </c>
      <c r="E138" s="54">
        <v>7000</v>
      </c>
      <c r="F138" s="24">
        <v>8000</v>
      </c>
      <c r="G138" s="54">
        <v>7000</v>
      </c>
    </row>
    <row r="139" spans="1:7" ht="26.25" thickBot="1">
      <c r="A139" s="3"/>
      <c r="B139" s="7" t="s">
        <v>419</v>
      </c>
      <c r="C139" s="3"/>
      <c r="D139" s="9">
        <f>SUM(D136:D138)</f>
        <v>8000</v>
      </c>
      <c r="E139" s="9">
        <f>SUM(E136:E138)</f>
        <v>7000</v>
      </c>
      <c r="F139" s="9">
        <f>SUM(F136:F138)</f>
        <v>8000</v>
      </c>
      <c r="G139" s="9">
        <f>SUM(G136:G138)</f>
        <v>7000</v>
      </c>
    </row>
    <row r="140" spans="1:7" ht="13.5" thickTop="1">
      <c r="A140" s="3"/>
      <c r="B140" s="6"/>
      <c r="C140" s="3"/>
      <c r="D140" s="24"/>
      <c r="E140" s="24"/>
      <c r="F140" s="24"/>
      <c r="G140" s="24"/>
    </row>
    <row r="141" spans="1:6" ht="51">
      <c r="A141" s="20">
        <v>19</v>
      </c>
      <c r="B141" s="8" t="s">
        <v>23</v>
      </c>
      <c r="D141" s="20" t="s">
        <v>74</v>
      </c>
      <c r="E141" s="5"/>
      <c r="F141" s="20" t="s">
        <v>75</v>
      </c>
    </row>
    <row r="142" spans="2:7" ht="12.75">
      <c r="B142" s="1"/>
      <c r="D142" s="8" t="s">
        <v>64</v>
      </c>
      <c r="E142" s="7" t="s">
        <v>65</v>
      </c>
      <c r="F142" s="8" t="s">
        <v>64</v>
      </c>
      <c r="G142" s="7" t="s">
        <v>65</v>
      </c>
    </row>
    <row r="143" spans="2:7" ht="12.75">
      <c r="B143" s="1"/>
      <c r="D143" s="3" t="s">
        <v>66</v>
      </c>
      <c r="E143" s="2" t="s">
        <v>66</v>
      </c>
      <c r="F143" s="3" t="s">
        <v>66</v>
      </c>
      <c r="G143" s="2" t="s">
        <v>66</v>
      </c>
    </row>
    <row r="144" spans="2:6" ht="12.75">
      <c r="B144" s="8" t="s">
        <v>421</v>
      </c>
      <c r="D144" s="3"/>
      <c r="F144" s="3"/>
    </row>
    <row r="145" spans="2:7" ht="12.75">
      <c r="B145" s="7" t="s">
        <v>154</v>
      </c>
      <c r="D145" s="2">
        <v>0</v>
      </c>
      <c r="E145" s="2">
        <v>0</v>
      </c>
      <c r="F145" s="2">
        <v>0</v>
      </c>
      <c r="G145" s="2">
        <v>0</v>
      </c>
    </row>
    <row r="146" spans="2:7" ht="12.75">
      <c r="B146" s="7" t="s">
        <v>155</v>
      </c>
      <c r="D146" s="2">
        <v>0</v>
      </c>
      <c r="E146" s="2">
        <v>0</v>
      </c>
      <c r="F146" s="2">
        <v>0</v>
      </c>
      <c r="G146" s="2">
        <v>0</v>
      </c>
    </row>
    <row r="147" spans="2:7" ht="25.5">
      <c r="B147" s="7" t="s">
        <v>156</v>
      </c>
      <c r="D147" s="2">
        <v>0</v>
      </c>
      <c r="E147" s="2">
        <v>0</v>
      </c>
      <c r="F147" s="2">
        <v>175000</v>
      </c>
      <c r="G147" s="2">
        <v>175000</v>
      </c>
    </row>
    <row r="148" ht="12.75">
      <c r="B148" s="7"/>
    </row>
    <row r="149" spans="2:7" ht="13.5" thickBot="1">
      <c r="B149" s="8" t="s">
        <v>16</v>
      </c>
      <c r="D149" s="10">
        <f>SUM(D145:D147)</f>
        <v>0</v>
      </c>
      <c r="E149" s="10">
        <f>SUM(E145:E147)</f>
        <v>0</v>
      </c>
      <c r="F149" s="9">
        <f>SUM(F145:F147)</f>
        <v>175000</v>
      </c>
      <c r="G149" s="9">
        <f>SUM(G145:G147)</f>
        <v>175000</v>
      </c>
    </row>
    <row r="150" ht="13.5" thickTop="1">
      <c r="B150" s="1"/>
    </row>
    <row r="151" spans="2:7" ht="24" customHeight="1">
      <c r="B151" s="88" t="s">
        <v>413</v>
      </c>
      <c r="C151" s="90"/>
      <c r="D151" s="90"/>
      <c r="E151" s="90"/>
      <c r="F151" s="90"/>
      <c r="G151" s="90"/>
    </row>
    <row r="152" spans="2:7" ht="12.75">
      <c r="B152" s="1"/>
      <c r="C152" s="49"/>
      <c r="D152" s="49"/>
      <c r="E152" s="49"/>
      <c r="F152" s="49"/>
      <c r="G152" s="49"/>
    </row>
    <row r="153" spans="2:7" ht="26.25" customHeight="1">
      <c r="B153" s="79" t="s">
        <v>528</v>
      </c>
      <c r="C153" s="80"/>
      <c r="D153" s="80"/>
      <c r="E153" s="80"/>
      <c r="F153" s="80"/>
      <c r="G153" s="80"/>
    </row>
    <row r="154" spans="1:7" ht="12.75">
      <c r="A154" s="3"/>
      <c r="B154" s="6"/>
      <c r="C154" s="3"/>
      <c r="D154" s="24"/>
      <c r="E154" s="24"/>
      <c r="F154" s="24"/>
      <c r="G154" s="24"/>
    </row>
    <row r="155" spans="1:7" ht="12.75">
      <c r="A155" s="3"/>
      <c r="B155" s="4"/>
      <c r="C155" s="3"/>
      <c r="D155" s="24"/>
      <c r="E155" s="24"/>
      <c r="F155" s="24"/>
      <c r="G155" s="24"/>
    </row>
    <row r="156" ht="12.75">
      <c r="B156" s="1"/>
    </row>
    <row r="157" ht="12.75">
      <c r="B157" s="1"/>
    </row>
    <row r="158" spans="1:8" s="20" customFormat="1" ht="58.5" customHeight="1">
      <c r="A158" s="20">
        <v>20</v>
      </c>
      <c r="B158" s="8" t="s">
        <v>69</v>
      </c>
      <c r="D158" s="8" t="s">
        <v>181</v>
      </c>
      <c r="E158" s="8" t="s">
        <v>149</v>
      </c>
      <c r="F158" s="8" t="s">
        <v>100</v>
      </c>
      <c r="G158" s="8" t="s">
        <v>101</v>
      </c>
      <c r="H158" s="36" t="s">
        <v>102</v>
      </c>
    </row>
    <row r="159" spans="2:8" ht="12.75">
      <c r="B159" s="1"/>
      <c r="D159" s="72" t="s">
        <v>66</v>
      </c>
      <c r="E159" s="72" t="s">
        <v>66</v>
      </c>
      <c r="F159" s="72" t="s">
        <v>66</v>
      </c>
      <c r="G159" s="72" t="s">
        <v>66</v>
      </c>
      <c r="H159" s="72" t="s">
        <v>66</v>
      </c>
    </row>
    <row r="160" spans="2:8" ht="12.75">
      <c r="B160" s="7" t="s">
        <v>157</v>
      </c>
      <c r="D160" s="2">
        <v>0</v>
      </c>
      <c r="E160" s="2">
        <v>300000</v>
      </c>
      <c r="F160" s="2">
        <v>-300000</v>
      </c>
      <c r="G160" s="2">
        <v>0</v>
      </c>
      <c r="H160" s="33">
        <f>SUM(D160:G160)</f>
        <v>0</v>
      </c>
    </row>
    <row r="161" spans="2:8" ht="12.75">
      <c r="B161" s="7" t="s">
        <v>158</v>
      </c>
      <c r="D161" s="2">
        <v>30000</v>
      </c>
      <c r="F161" s="2">
        <v>-25000</v>
      </c>
      <c r="G161" s="2">
        <v>0</v>
      </c>
      <c r="H161" s="33">
        <f>SUM(D161:G161)</f>
        <v>5000</v>
      </c>
    </row>
    <row r="162" spans="2:8" ht="12.75">
      <c r="B162" s="7" t="s">
        <v>159</v>
      </c>
      <c r="D162" s="2">
        <v>20000</v>
      </c>
      <c r="F162" s="2">
        <v>-20000</v>
      </c>
      <c r="G162" s="2">
        <v>0</v>
      </c>
      <c r="H162" s="33">
        <f>SUM(D162:G162)</f>
        <v>0</v>
      </c>
    </row>
    <row r="163" spans="2:8" ht="12.75">
      <c r="B163" s="7" t="s">
        <v>182</v>
      </c>
      <c r="D163" s="2">
        <v>0</v>
      </c>
      <c r="E163" s="2">
        <v>50000</v>
      </c>
      <c r="F163" s="2">
        <v>0</v>
      </c>
      <c r="G163" s="2">
        <v>0</v>
      </c>
      <c r="H163" s="33">
        <f>SUM(D163:G163)</f>
        <v>50000</v>
      </c>
    </row>
    <row r="164" ht="12.75">
      <c r="B164" s="7"/>
    </row>
    <row r="165" spans="2:9" ht="13.5" thickBot="1">
      <c r="B165" s="7" t="s">
        <v>16</v>
      </c>
      <c r="D165" s="10">
        <f>SUM(D160:D163)</f>
        <v>50000</v>
      </c>
      <c r="E165" s="10">
        <f>SUM(E160:E163)</f>
        <v>350000</v>
      </c>
      <c r="F165" s="10">
        <f>SUM(F160:F163)</f>
        <v>-345000</v>
      </c>
      <c r="G165" s="10">
        <f>SUM(G160:G163)</f>
        <v>0</v>
      </c>
      <c r="H165" s="35">
        <f>SUM(H160:H163)</f>
        <v>55000</v>
      </c>
      <c r="I165" s="32"/>
    </row>
    <row r="166" ht="13.5" thickTop="1">
      <c r="B166" s="1"/>
    </row>
    <row r="167" spans="2:8" ht="12.75" customHeight="1">
      <c r="B167" s="85" t="s">
        <v>438</v>
      </c>
      <c r="C167" s="85"/>
      <c r="D167" s="85"/>
      <c r="E167" s="85"/>
      <c r="F167" s="85"/>
      <c r="G167" s="85"/>
      <c r="H167" s="85"/>
    </row>
    <row r="168" ht="12.75">
      <c r="B168" s="1"/>
    </row>
    <row r="169" spans="2:8" ht="26.25" customHeight="1">
      <c r="B169" s="79" t="s">
        <v>505</v>
      </c>
      <c r="C169" s="80"/>
      <c r="D169" s="80"/>
      <c r="E169" s="80"/>
      <c r="F169" s="80"/>
      <c r="G169" s="80"/>
      <c r="H169" s="80"/>
    </row>
    <row r="170" spans="2:8" ht="12.75" customHeight="1">
      <c r="B170" s="1"/>
      <c r="C170" s="23"/>
      <c r="D170" s="23"/>
      <c r="E170" s="23"/>
      <c r="F170" s="23"/>
      <c r="G170" s="23"/>
      <c r="H170" s="23"/>
    </row>
    <row r="171" spans="2:8" ht="12.75">
      <c r="B171" s="88" t="s">
        <v>437</v>
      </c>
      <c r="C171" s="90"/>
      <c r="D171" s="90"/>
      <c r="E171" s="90"/>
      <c r="F171" s="90"/>
      <c r="G171" s="90"/>
      <c r="H171" s="90"/>
    </row>
    <row r="172" ht="12.75">
      <c r="B172" s="1"/>
    </row>
    <row r="173" spans="1:8" ht="38.25">
      <c r="A173" s="20">
        <v>21</v>
      </c>
      <c r="B173" s="8" t="s">
        <v>70</v>
      </c>
      <c r="C173" s="20"/>
      <c r="D173" s="8" t="s">
        <v>181</v>
      </c>
      <c r="E173" s="8" t="s">
        <v>149</v>
      </c>
      <c r="F173" s="8" t="s">
        <v>428</v>
      </c>
      <c r="G173" s="8" t="s">
        <v>101</v>
      </c>
      <c r="H173" s="36" t="s">
        <v>102</v>
      </c>
    </row>
    <row r="174" spans="1:8" ht="12.75">
      <c r="A174" s="20"/>
      <c r="B174" s="8"/>
      <c r="C174" s="20"/>
      <c r="D174" s="72" t="s">
        <v>66</v>
      </c>
      <c r="E174" s="72" t="s">
        <v>66</v>
      </c>
      <c r="F174" s="72" t="s">
        <v>66</v>
      </c>
      <c r="G174" s="72" t="s">
        <v>66</v>
      </c>
      <c r="H174" s="72" t="s">
        <v>66</v>
      </c>
    </row>
    <row r="175" ht="12.75">
      <c r="B175" s="8" t="s">
        <v>71</v>
      </c>
    </row>
    <row r="176" spans="2:8" ht="12.75">
      <c r="B176" s="7" t="s">
        <v>192</v>
      </c>
      <c r="D176" s="2">
        <v>100000</v>
      </c>
      <c r="E176" s="2">
        <v>0</v>
      </c>
      <c r="F176" s="2">
        <v>-100000</v>
      </c>
      <c r="G176" s="2">
        <v>0</v>
      </c>
      <c r="H176" s="33">
        <f>SUM(D176:G176)</f>
        <v>0</v>
      </c>
    </row>
    <row r="177" spans="2:8" ht="12.75">
      <c r="B177" s="7" t="s">
        <v>191</v>
      </c>
      <c r="D177" s="2">
        <v>0</v>
      </c>
      <c r="E177" s="2">
        <v>0</v>
      </c>
      <c r="F177" s="2">
        <v>0</v>
      </c>
      <c r="G177" s="2">
        <v>50000</v>
      </c>
      <c r="H177" s="33">
        <f>SUM(D177:G177)</f>
        <v>50000</v>
      </c>
    </row>
    <row r="178" ht="12.75">
      <c r="B178" s="7"/>
    </row>
    <row r="179" spans="2:8" ht="26.25" thickBot="1">
      <c r="B179" s="7" t="s">
        <v>427</v>
      </c>
      <c r="D179" s="10">
        <f>SUM(D176:D177)</f>
        <v>100000</v>
      </c>
      <c r="E179" s="10">
        <f>SUM(E176:E177)</f>
        <v>0</v>
      </c>
      <c r="F179" s="10">
        <f>SUM(F176:F177)</f>
        <v>-100000</v>
      </c>
      <c r="G179" s="10">
        <f>SUM(G176:G177)</f>
        <v>50000</v>
      </c>
      <c r="H179" s="35">
        <f>SUM(H176:H177)</f>
        <v>50000</v>
      </c>
    </row>
    <row r="180" spans="2:8" ht="13.5" thickTop="1">
      <c r="B180" s="8"/>
      <c r="D180" s="17"/>
      <c r="E180" s="17"/>
      <c r="F180" s="17"/>
      <c r="G180" s="17"/>
      <c r="H180" s="37"/>
    </row>
    <row r="181" spans="2:8" ht="12.75">
      <c r="B181" s="8" t="s">
        <v>429</v>
      </c>
      <c r="D181" s="2">
        <f>'Balance Sheet'!I38</f>
        <v>3000000</v>
      </c>
      <c r="E181" s="2">
        <f>SOFA!D24</f>
        <v>3641300</v>
      </c>
      <c r="F181" s="2">
        <f>SOFA!D44+SOFA!D48</f>
        <v>-3280500</v>
      </c>
      <c r="G181" s="2">
        <v>-50000</v>
      </c>
      <c r="H181" s="33">
        <f>SUM(D181:G181)</f>
        <v>3310800</v>
      </c>
    </row>
    <row r="182" spans="2:8" ht="12.75">
      <c r="B182" s="8"/>
      <c r="D182" s="17"/>
      <c r="E182" s="17"/>
      <c r="F182" s="17"/>
      <c r="G182" s="17"/>
      <c r="H182" s="37"/>
    </row>
    <row r="183" spans="2:8" ht="12.75">
      <c r="B183" s="8" t="s">
        <v>218</v>
      </c>
      <c r="D183" s="2">
        <f>'Balance Sheet'!I39</f>
        <v>200000</v>
      </c>
      <c r="E183" s="2">
        <v>0</v>
      </c>
      <c r="F183" s="2">
        <v>0</v>
      </c>
      <c r="G183" s="2">
        <v>500000</v>
      </c>
      <c r="H183" s="33">
        <f>SUM(D183:G183)</f>
        <v>700000</v>
      </c>
    </row>
    <row r="184" spans="2:8" ht="12.75">
      <c r="B184" s="7"/>
      <c r="D184" s="17"/>
      <c r="E184" s="17"/>
      <c r="F184" s="17"/>
      <c r="G184" s="17"/>
      <c r="H184" s="37"/>
    </row>
    <row r="185" spans="2:8" ht="26.25" thickBot="1">
      <c r="B185" s="7" t="s">
        <v>430</v>
      </c>
      <c r="D185" s="10">
        <f>SUM(D179:D183)</f>
        <v>3300000</v>
      </c>
      <c r="E185" s="10">
        <f>SUM(E179:E183)</f>
        <v>3641300</v>
      </c>
      <c r="F185" s="10">
        <f>SUM(F179:F183)</f>
        <v>-3380500</v>
      </c>
      <c r="G185" s="10">
        <f>SUM(G179:G183)</f>
        <v>500000</v>
      </c>
      <c r="H185" s="9">
        <f>SUM(H179:H183)</f>
        <v>4060800</v>
      </c>
    </row>
    <row r="186" spans="2:8" ht="13.5" thickTop="1">
      <c r="B186" s="1"/>
      <c r="D186" s="17"/>
      <c r="E186" s="17"/>
      <c r="F186" s="17"/>
      <c r="G186" s="17"/>
      <c r="H186" s="56"/>
    </row>
    <row r="187" spans="2:8" s="32" customFormat="1" ht="12.75">
      <c r="B187" s="34" t="s">
        <v>424</v>
      </c>
      <c r="D187" s="37"/>
      <c r="E187" s="37"/>
      <c r="F187" s="37"/>
      <c r="G187" s="37"/>
      <c r="H187" s="37"/>
    </row>
    <row r="188" spans="2:8" ht="25.5" customHeight="1">
      <c r="B188" s="88" t="s">
        <v>193</v>
      </c>
      <c r="C188" s="80"/>
      <c r="D188" s="80"/>
      <c r="E188" s="80"/>
      <c r="F188" s="80"/>
      <c r="G188" s="80"/>
      <c r="H188" s="80"/>
    </row>
    <row r="189" spans="2:8" ht="12.75">
      <c r="B189" s="1"/>
      <c r="C189" s="23"/>
      <c r="D189" s="23"/>
      <c r="E189" s="23"/>
      <c r="F189" s="23"/>
      <c r="G189" s="23"/>
      <c r="H189" s="38"/>
    </row>
    <row r="190" spans="2:8" ht="27" customHeight="1">
      <c r="B190" s="88" t="s">
        <v>411</v>
      </c>
      <c r="C190" s="80"/>
      <c r="D190" s="80"/>
      <c r="E190" s="80"/>
      <c r="F190" s="80"/>
      <c r="G190" s="80"/>
      <c r="H190" s="80"/>
    </row>
    <row r="191" spans="2:8" ht="12.75" customHeight="1">
      <c r="B191" s="1"/>
      <c r="C191" s="23"/>
      <c r="D191" s="23"/>
      <c r="E191" s="23"/>
      <c r="F191" s="23"/>
      <c r="G191" s="23"/>
      <c r="H191" s="23"/>
    </row>
    <row r="192" spans="2:8" ht="12.75" customHeight="1">
      <c r="B192" s="84" t="s">
        <v>431</v>
      </c>
      <c r="C192" s="84"/>
      <c r="D192" s="84"/>
      <c r="E192" s="84"/>
      <c r="F192" s="84"/>
      <c r="G192" s="84"/>
      <c r="H192" s="84"/>
    </row>
    <row r="193" ht="12.75" customHeight="1">
      <c r="B193" s="1"/>
    </row>
    <row r="194" spans="1:7" ht="25.5">
      <c r="A194" s="20">
        <v>22</v>
      </c>
      <c r="B194" s="8" t="s">
        <v>97</v>
      </c>
      <c r="C194" s="20"/>
      <c r="D194" s="8" t="s">
        <v>72</v>
      </c>
      <c r="E194" s="8" t="s">
        <v>71</v>
      </c>
      <c r="F194" s="8" t="s">
        <v>69</v>
      </c>
      <c r="G194" s="8" t="s">
        <v>73</v>
      </c>
    </row>
    <row r="195" spans="2:8" ht="12.75">
      <c r="B195" s="1"/>
      <c r="D195" s="72" t="s">
        <v>66</v>
      </c>
      <c r="E195" s="72" t="s">
        <v>66</v>
      </c>
      <c r="F195" s="72" t="s">
        <v>66</v>
      </c>
      <c r="G195" s="72" t="s">
        <v>66</v>
      </c>
      <c r="H195" s="72"/>
    </row>
    <row r="196" ht="12.75">
      <c r="B196" s="1"/>
    </row>
    <row r="197" spans="2:7" ht="12.75">
      <c r="B197" s="7" t="s">
        <v>17</v>
      </c>
      <c r="D197" s="2">
        <v>1160000</v>
      </c>
      <c r="E197" s="2">
        <v>0</v>
      </c>
      <c r="F197" s="2">
        <v>0</v>
      </c>
      <c r="G197" s="3">
        <f>SUM(D197:F197)</f>
        <v>1160000</v>
      </c>
    </row>
    <row r="198" spans="2:7" ht="12.75">
      <c r="B198" s="7" t="s">
        <v>68</v>
      </c>
      <c r="D198" s="2">
        <f>'Balance Sheet'!E9</f>
        <v>2408000</v>
      </c>
      <c r="E198" s="2">
        <v>0</v>
      </c>
      <c r="F198" s="2">
        <v>0</v>
      </c>
      <c r="G198" s="3">
        <f>SUM(D198:F198)</f>
        <v>2408000</v>
      </c>
    </row>
    <row r="199" spans="2:7" ht="12.75">
      <c r="B199" s="7" t="s">
        <v>18</v>
      </c>
      <c r="D199" s="2">
        <f>'Balance Sheet'!E17-105000+'Balance Sheet'!E16+'Balance Sheet'!E15</f>
        <v>669300</v>
      </c>
      <c r="E199" s="2">
        <v>50000</v>
      </c>
      <c r="F199" s="2">
        <v>55000</v>
      </c>
      <c r="G199" s="3">
        <f>SUM(D199:F199)</f>
        <v>774300</v>
      </c>
    </row>
    <row r="200" spans="2:7" ht="25.5">
      <c r="B200" s="7" t="s">
        <v>98</v>
      </c>
      <c r="D200" s="2">
        <v>-226500</v>
      </c>
      <c r="E200" s="2">
        <v>0</v>
      </c>
      <c r="F200" s="2">
        <v>0</v>
      </c>
      <c r="G200" s="3">
        <f>SUM(D200:F200)</f>
        <v>-226500</v>
      </c>
    </row>
    <row r="201" spans="2:7" ht="25.5">
      <c r="B201" s="7" t="s">
        <v>99</v>
      </c>
      <c r="D201" s="2">
        <v>0</v>
      </c>
      <c r="E201" s="2">
        <v>0</v>
      </c>
      <c r="F201" s="2">
        <v>0</v>
      </c>
      <c r="G201" s="3">
        <f>SUM(D201:F201)</f>
        <v>0</v>
      </c>
    </row>
    <row r="202" ht="12.75">
      <c r="B202" s="7"/>
    </row>
    <row r="203" spans="2:7" ht="13.5" thickBot="1">
      <c r="B203" s="1"/>
      <c r="D203" s="9">
        <f>SUM(D197:D201)</f>
        <v>4010800</v>
      </c>
      <c r="E203" s="9">
        <f>SUM(E197:E201)</f>
        <v>50000</v>
      </c>
      <c r="F203" s="9">
        <f>SUM(F197:F201)</f>
        <v>55000</v>
      </c>
      <c r="G203" s="9">
        <f>SUM(G197:G201)</f>
        <v>4115800</v>
      </c>
    </row>
    <row r="204" ht="13.5" thickTop="1">
      <c r="B204" s="1"/>
    </row>
    <row r="205" spans="1:3" ht="12.75" customHeight="1">
      <c r="A205" s="20">
        <v>23</v>
      </c>
      <c r="B205" s="93" t="s">
        <v>152</v>
      </c>
      <c r="C205" s="93"/>
    </row>
    <row r="206" ht="12.75">
      <c r="B206" s="1"/>
    </row>
    <row r="207" spans="2:8" ht="51" customHeight="1">
      <c r="B207" s="79" t="s">
        <v>529</v>
      </c>
      <c r="C207" s="88"/>
      <c r="D207" s="88"/>
      <c r="E207" s="88"/>
      <c r="F207" s="88"/>
      <c r="G207" s="80"/>
      <c r="H207" s="80"/>
    </row>
    <row r="208" ht="12.75">
      <c r="B208" s="1"/>
    </row>
    <row r="209" spans="1:2" ht="12.75">
      <c r="A209" s="20">
        <v>24</v>
      </c>
      <c r="B209" s="20" t="s">
        <v>423</v>
      </c>
    </row>
    <row r="210" spans="1:2" ht="12.75">
      <c r="A210" s="20"/>
      <c r="B210" s="20"/>
    </row>
    <row r="211" ht="12.75">
      <c r="B211" s="31" t="s">
        <v>434</v>
      </c>
    </row>
    <row r="212" ht="12.75">
      <c r="B212" s="31" t="s">
        <v>436</v>
      </c>
    </row>
    <row r="213" ht="12.75">
      <c r="B213" s="31" t="s">
        <v>433</v>
      </c>
    </row>
    <row r="214" ht="12.75">
      <c r="B214" s="31" t="s">
        <v>435</v>
      </c>
    </row>
    <row r="215" ht="12.75">
      <c r="B215" s="6" t="s">
        <v>530</v>
      </c>
    </row>
    <row r="216" ht="12.75">
      <c r="B216" s="1"/>
    </row>
    <row r="217" spans="1:5" ht="12.75" customHeight="1">
      <c r="A217" s="20">
        <v>25</v>
      </c>
      <c r="B217" s="91" t="s">
        <v>507</v>
      </c>
      <c r="C217" s="91"/>
      <c r="D217" s="91"/>
      <c r="E217" s="91"/>
    </row>
    <row r="218" spans="1:5" ht="8.25" customHeight="1">
      <c r="A218" s="20"/>
      <c r="B218" s="76"/>
      <c r="C218" s="76"/>
      <c r="D218" s="76"/>
      <c r="E218" s="76"/>
    </row>
    <row r="219" spans="1:8" ht="32.25" customHeight="1">
      <c r="A219" s="20"/>
      <c r="B219" s="81" t="s">
        <v>509</v>
      </c>
      <c r="C219" s="81"/>
      <c r="D219" s="81"/>
      <c r="E219" s="81"/>
      <c r="F219" s="81"/>
      <c r="G219" s="81"/>
      <c r="H219" s="81"/>
    </row>
    <row r="220" spans="1:8" ht="16.5" customHeight="1">
      <c r="A220" s="20"/>
      <c r="B220" s="4"/>
      <c r="E220" s="3" t="s">
        <v>64</v>
      </c>
      <c r="G220" s="2" t="s">
        <v>65</v>
      </c>
      <c r="H220" s="2"/>
    </row>
    <row r="221" spans="2:8" ht="17.25" customHeight="1">
      <c r="B221" s="1"/>
      <c r="E221" s="69" t="s">
        <v>66</v>
      </c>
      <c r="F221" s="70"/>
      <c r="G221" s="71" t="s">
        <v>66</v>
      </c>
      <c r="H221" s="2"/>
    </row>
    <row r="222" spans="2:8" ht="12.75">
      <c r="B222" s="6" t="s">
        <v>508</v>
      </c>
      <c r="E222" s="3">
        <f>SOFA!G24-'Balance Sheet Notes'!D89</f>
        <v>3933550</v>
      </c>
      <c r="G222" s="2">
        <f>SOFA!I24-'Balance Sheet Notes'!F89</f>
        <v>3011350</v>
      </c>
      <c r="H222" s="2"/>
    </row>
    <row r="223" spans="2:8" ht="14.25" customHeight="1">
      <c r="B223" s="84" t="s">
        <v>519</v>
      </c>
      <c r="C223" s="84"/>
      <c r="D223" s="84"/>
      <c r="E223" s="3">
        <f>-'Balance Sheet Notes'!D97</f>
        <v>35800</v>
      </c>
      <c r="G223" s="2">
        <f>-F97</f>
        <v>37100</v>
      </c>
      <c r="H223" s="2"/>
    </row>
    <row r="224" spans="2:8" ht="12.75">
      <c r="B224" s="6" t="s">
        <v>203</v>
      </c>
      <c r="E224" s="3">
        <f>-3867000+8450</f>
        <v>-3858550</v>
      </c>
      <c r="G224" s="2">
        <f>-(G222+G223+G225+583900)</f>
        <v>-3739350</v>
      </c>
      <c r="H224" s="2"/>
    </row>
    <row r="225" spans="2:7" ht="12.75">
      <c r="B225" s="31" t="str">
        <f>SOFA!B48</f>
        <v>Net gains/(losses) on investments</v>
      </c>
      <c r="E225" s="21">
        <f>SOFA!G48</f>
        <v>155000</v>
      </c>
      <c r="G225" s="22">
        <f>SOFA!I48</f>
        <v>107000</v>
      </c>
    </row>
    <row r="226" spans="2:7" ht="12.75">
      <c r="B226" s="31" t="s">
        <v>485</v>
      </c>
      <c r="E226" s="3">
        <f>E222+E223+E224+E225</f>
        <v>265800</v>
      </c>
      <c r="G226" s="2">
        <f>G229-G228-G227</f>
        <v>-583900</v>
      </c>
    </row>
    <row r="227" spans="2:7" ht="12.75">
      <c r="B227" s="31" t="str">
        <f>SOFA!B55</f>
        <v>Gains on revaluation of freehold property</v>
      </c>
      <c r="E227" s="3">
        <f>SOFA!D55</f>
        <v>500000</v>
      </c>
      <c r="G227" s="2">
        <f>SOFA!I55</f>
        <v>200000</v>
      </c>
    </row>
    <row r="228" spans="2:7" ht="12.75">
      <c r="B228" s="31" t="s">
        <v>62</v>
      </c>
      <c r="E228" s="3">
        <f>G234</f>
        <v>3350000</v>
      </c>
      <c r="G228" s="2">
        <f>SOFA!I60</f>
        <v>3733900</v>
      </c>
    </row>
    <row r="229" spans="2:7" ht="13.5" thickBot="1">
      <c r="B229" s="31" t="s">
        <v>63</v>
      </c>
      <c r="E229" s="9">
        <f>SOFA!G62</f>
        <v>4115800</v>
      </c>
      <c r="G229" s="10">
        <f>G234</f>
        <v>3350000</v>
      </c>
    </row>
    <row r="230" ht="13.5" thickTop="1"/>
    <row r="231" ht="12.75">
      <c r="B231" s="31" t="s">
        <v>131</v>
      </c>
    </row>
    <row r="232" spans="2:7" ht="12.75">
      <c r="B232" s="31" t="s">
        <v>69</v>
      </c>
      <c r="E232" s="3">
        <v>55000</v>
      </c>
      <c r="G232" s="2">
        <v>50000</v>
      </c>
    </row>
    <row r="233" spans="2:7" ht="12.75">
      <c r="B233" s="31" t="s">
        <v>70</v>
      </c>
      <c r="E233" s="3">
        <f>E234-E232</f>
        <v>4060800</v>
      </c>
      <c r="G233" s="2">
        <f>G234-G232</f>
        <v>3300000</v>
      </c>
    </row>
    <row r="234" spans="5:7" ht="13.5" thickBot="1">
      <c r="E234" s="9">
        <f>SOFA!G62</f>
        <v>4115800</v>
      </c>
      <c r="G234" s="10">
        <v>3350000</v>
      </c>
    </row>
    <row r="235" ht="13.5" thickTop="1"/>
  </sheetData>
  <sheetProtection password="D3F2" sheet="1" formatCells="0" formatColumns="0" formatRows="0" insertColumns="0" insertRows="0" insertHyperlinks="0" deleteColumns="0" deleteRows="0" sort="0" autoFilter="0" pivotTables="0"/>
  <mergeCells count="21">
    <mergeCell ref="B4:C4"/>
    <mergeCell ref="B207:H207"/>
    <mergeCell ref="B79:F79"/>
    <mergeCell ref="B84:F84"/>
    <mergeCell ref="B124:C124"/>
    <mergeCell ref="B223:D223"/>
    <mergeCell ref="B80:F80"/>
    <mergeCell ref="B188:H188"/>
    <mergeCell ref="B153:G153"/>
    <mergeCell ref="B190:H190"/>
    <mergeCell ref="B51:H51"/>
    <mergeCell ref="B219:H219"/>
    <mergeCell ref="B78:D78"/>
    <mergeCell ref="B151:G151"/>
    <mergeCell ref="B205:C205"/>
    <mergeCell ref="B171:H171"/>
    <mergeCell ref="B169:H169"/>
    <mergeCell ref="B217:E217"/>
    <mergeCell ref="B52:H52"/>
    <mergeCell ref="B192:H192"/>
    <mergeCell ref="B167:H167"/>
  </mergeCells>
  <printOptions/>
  <pageMargins left="0.75" right="0.75" top="1" bottom="1" header="0.5" footer="0.5"/>
  <pageSetup horizontalDpi="300" verticalDpi="300" orientation="portrait" paperSize="9" scale="58" r:id="rId1"/>
  <rowBreaks count="3" manualBreakCount="3">
    <brk id="52" max="255" man="1"/>
    <brk id="109" max="255" man="1"/>
    <brk id="157" max="255" man="1"/>
  </rowBreaks>
</worksheet>
</file>

<file path=xl/worksheets/sheet8.xml><?xml version="1.0" encoding="utf-8"?>
<worksheet xmlns="http://schemas.openxmlformats.org/spreadsheetml/2006/main" xmlns:r="http://schemas.openxmlformats.org/officeDocument/2006/relationships">
  <sheetPr>
    <pageSetUpPr fitToPage="1"/>
  </sheetPr>
  <dimension ref="A2:I55"/>
  <sheetViews>
    <sheetView zoomScalePageLayoutView="0" workbookViewId="0" topLeftCell="A1">
      <selection activeCell="E11" sqref="E11"/>
    </sheetView>
  </sheetViews>
  <sheetFormatPr defaultColWidth="9.140625" defaultRowHeight="12.75"/>
  <cols>
    <col min="1" max="1" width="9.421875" style="2" bestFit="1" customWidth="1"/>
    <col min="2" max="2" width="19.7109375" style="2" customWidth="1"/>
    <col min="3" max="3" width="9.140625" style="2" customWidth="1"/>
    <col min="4" max="4" width="13.28125" style="2" bestFit="1" customWidth="1"/>
    <col min="5" max="5" width="12.7109375" style="2" customWidth="1"/>
    <col min="6" max="6" width="12.421875" style="2" customWidth="1"/>
    <col min="7" max="7" width="13.421875" style="2" customWidth="1"/>
    <col min="8" max="8" width="13.421875" style="33" customWidth="1"/>
    <col min="9" max="16384" width="9.140625" style="2" customWidth="1"/>
  </cols>
  <sheetData>
    <row r="2" ht="12.75">
      <c r="B2" s="3" t="s">
        <v>151</v>
      </c>
    </row>
    <row r="4" spans="1:7" ht="65.25" customHeight="1">
      <c r="A4" s="3">
        <v>26</v>
      </c>
      <c r="B4" s="8" t="s">
        <v>457</v>
      </c>
      <c r="D4" s="20" t="s">
        <v>74</v>
      </c>
      <c r="E4" s="5"/>
      <c r="F4" s="20" t="s">
        <v>75</v>
      </c>
      <c r="G4" s="5"/>
    </row>
    <row r="5" spans="4:7" ht="12.75" customHeight="1">
      <c r="D5" s="8" t="s">
        <v>64</v>
      </c>
      <c r="E5" s="7" t="s">
        <v>65</v>
      </c>
      <c r="F5" s="8" t="s">
        <v>64</v>
      </c>
      <c r="G5" s="7" t="s">
        <v>65</v>
      </c>
    </row>
    <row r="6" spans="2:7" ht="12.75">
      <c r="B6" s="7"/>
      <c r="D6" s="69" t="s">
        <v>66</v>
      </c>
      <c r="E6" s="70" t="s">
        <v>66</v>
      </c>
      <c r="F6" s="69" t="s">
        <v>66</v>
      </c>
      <c r="G6" s="70" t="s">
        <v>66</v>
      </c>
    </row>
    <row r="7" spans="2:7" ht="76.5">
      <c r="B7" s="8" t="s">
        <v>460</v>
      </c>
      <c r="D7" s="31">
        <f>SOFA!G50</f>
        <v>265800</v>
      </c>
      <c r="E7" s="31">
        <f>SOFA!I50</f>
        <v>-583900</v>
      </c>
      <c r="F7" s="31">
        <f>D7</f>
        <v>265800</v>
      </c>
      <c r="G7" s="31">
        <v>-579402</v>
      </c>
    </row>
    <row r="8" spans="2:7" ht="12.75">
      <c r="B8" s="7" t="s">
        <v>459</v>
      </c>
      <c r="D8" s="31"/>
      <c r="E8" s="31"/>
      <c r="F8" s="31"/>
      <c r="G8" s="31"/>
    </row>
    <row r="9" spans="2:7" ht="12.75">
      <c r="B9" s="8" t="s">
        <v>458</v>
      </c>
      <c r="D9" s="31"/>
      <c r="E9" s="31"/>
      <c r="F9" s="31"/>
      <c r="G9" s="31"/>
    </row>
    <row r="10" spans="2:7" ht="12.75">
      <c r="B10" s="7" t="s">
        <v>471</v>
      </c>
      <c r="D10" s="31">
        <f>'Balance Sheet Notes'!H20</f>
        <v>48500</v>
      </c>
      <c r="E10" s="31">
        <v>50000</v>
      </c>
      <c r="F10" s="31">
        <f>'Balance Sheet Notes'!H42</f>
        <v>45000</v>
      </c>
      <c r="G10" s="31">
        <v>47000</v>
      </c>
    </row>
    <row r="11" spans="2:7" ht="25.5">
      <c r="B11" s="7" t="s">
        <v>461</v>
      </c>
      <c r="D11" s="31">
        <f>-'Balance Sheet Notes'!D60</f>
        <v>-150000</v>
      </c>
      <c r="E11" s="31">
        <f>-SOFA!I48</f>
        <v>-107000</v>
      </c>
      <c r="F11" s="31">
        <f>D11</f>
        <v>-150000</v>
      </c>
      <c r="G11" s="31">
        <f>E11</f>
        <v>-107000</v>
      </c>
    </row>
    <row r="12" spans="2:7" ht="38.25">
      <c r="B12" s="7" t="s">
        <v>441</v>
      </c>
      <c r="D12" s="31">
        <f>-'SOFA Notes'!E97</f>
        <v>-136800</v>
      </c>
      <c r="E12" s="31">
        <f>-'SOFA Notes'!G97</f>
        <v>-169100</v>
      </c>
      <c r="F12" s="31">
        <f>D12+'Balance Sheet Notes'!D94-'Balance Sheet Notes'!D95</f>
        <v>-145850</v>
      </c>
      <c r="G12" s="31">
        <f>E12-'Balance Sheet Notes'!F95+'Balance Sheet Notes'!F94</f>
        <v>-178550</v>
      </c>
    </row>
    <row r="13" spans="2:7" ht="25.5">
      <c r="B13" s="7" t="s">
        <v>462</v>
      </c>
      <c r="D13" s="31">
        <f>-'Balance Sheet Notes'!G13+'Balance Sheet Notes'!H21-'Statement of Cash Flows'!E13</f>
        <v>2500</v>
      </c>
      <c r="E13" s="31">
        <v>0</v>
      </c>
      <c r="F13" s="31">
        <f>-'Balance Sheet Notes'!H35+'Balance Sheet Notes'!H43-'Statement of Cash Flows'!H13</f>
        <v>2500</v>
      </c>
      <c r="G13" s="31">
        <v>0</v>
      </c>
    </row>
    <row r="14" spans="2:8" s="3" customFormat="1" ht="25.5">
      <c r="B14" s="7" t="s">
        <v>463</v>
      </c>
      <c r="D14" s="31">
        <f>-'Balance Sheet'!E15+'Balance Sheet'!F15</f>
        <v>1000</v>
      </c>
      <c r="E14" s="31">
        <v>-2000</v>
      </c>
      <c r="F14" s="31">
        <f>-'Balance Sheet'!H15+'Balance Sheet'!I15</f>
        <v>0</v>
      </c>
      <c r="G14" s="31">
        <v>0</v>
      </c>
      <c r="H14" s="33"/>
    </row>
    <row r="15" spans="1:7" ht="25.5">
      <c r="A15" s="32"/>
      <c r="B15" s="40" t="s">
        <v>464</v>
      </c>
      <c r="C15" s="32"/>
      <c r="D15" s="64">
        <f>-'Balance Sheet Notes'!D122+'Balance Sheet Notes'!D117+'Balance Sheet Notes'!E122-'Balance Sheet Notes'!E117</f>
        <v>-6800</v>
      </c>
      <c r="E15" s="64">
        <v>12000</v>
      </c>
      <c r="F15" s="64">
        <f>-'Balance Sheet Notes'!F122+'Balance Sheet Notes'!F117+'Balance Sheet Notes'!G122-'Balance Sheet Notes'!G117</f>
        <v>-9800</v>
      </c>
      <c r="G15" s="64">
        <v>10000</v>
      </c>
    </row>
    <row r="16" spans="2:9" ht="25.5">
      <c r="B16" s="63" t="s">
        <v>465</v>
      </c>
      <c r="C16" s="17"/>
      <c r="D16" s="54">
        <f>'Balance Sheet'!E21-'Balance Sheet'!F21</f>
        <v>15300</v>
      </c>
      <c r="E16" s="54">
        <v>25000</v>
      </c>
      <c r="F16" s="54">
        <f>'Balance Sheet'!H21-'Balance Sheet'!I21</f>
        <v>13300</v>
      </c>
      <c r="G16" s="54">
        <v>23000</v>
      </c>
      <c r="H16" s="59"/>
      <c r="I16" s="31"/>
    </row>
    <row r="17" spans="2:8" ht="39" thickBot="1">
      <c r="B17" s="61" t="s">
        <v>450</v>
      </c>
      <c r="C17" s="17"/>
      <c r="D17" s="9">
        <f>SUM(D7:D16)</f>
        <v>39500</v>
      </c>
      <c r="E17" s="9">
        <f>SUM(E7:E16)</f>
        <v>-775000</v>
      </c>
      <c r="F17" s="9">
        <f>SUM(F7:F16)</f>
        <v>20950</v>
      </c>
      <c r="G17" s="9">
        <f>SUM(G7:G16)</f>
        <v>-784952</v>
      </c>
      <c r="H17" s="59"/>
    </row>
    <row r="18" spans="2:8" ht="13.5" thickTop="1">
      <c r="B18" s="61"/>
      <c r="C18" s="17"/>
      <c r="D18" s="24"/>
      <c r="E18" s="24"/>
      <c r="F18" s="24"/>
      <c r="G18" s="24"/>
      <c r="H18" s="59"/>
    </row>
    <row r="19" spans="1:7" ht="27.75" customHeight="1">
      <c r="A19" s="3">
        <v>27</v>
      </c>
      <c r="B19" s="61" t="s">
        <v>470</v>
      </c>
      <c r="D19" s="20" t="s">
        <v>74</v>
      </c>
      <c r="E19" s="5"/>
      <c r="F19" s="20" t="s">
        <v>75</v>
      </c>
      <c r="G19" s="5"/>
    </row>
    <row r="20" spans="2:8" ht="12.75">
      <c r="B20" s="18"/>
      <c r="C20" s="17"/>
      <c r="D20" s="8" t="s">
        <v>64</v>
      </c>
      <c r="E20" s="7" t="s">
        <v>65</v>
      </c>
      <c r="F20" s="8" t="s">
        <v>64</v>
      </c>
      <c r="G20" s="7" t="s">
        <v>65</v>
      </c>
      <c r="H20" s="59"/>
    </row>
    <row r="21" spans="2:8" ht="12.75">
      <c r="B21" s="63"/>
      <c r="C21" s="17"/>
      <c r="D21" s="69" t="s">
        <v>66</v>
      </c>
      <c r="E21" s="70" t="s">
        <v>66</v>
      </c>
      <c r="F21" s="69" t="s">
        <v>66</v>
      </c>
      <c r="G21" s="70" t="s">
        <v>66</v>
      </c>
      <c r="H21" s="59"/>
    </row>
    <row r="22" spans="2:8" ht="12.75">
      <c r="B22" s="63" t="s">
        <v>466</v>
      </c>
      <c r="C22" s="17"/>
      <c r="D22" s="17">
        <f>694300-D24</f>
        <v>194300</v>
      </c>
      <c r="E22" s="17">
        <f>535000-E24</f>
        <v>85000</v>
      </c>
      <c r="F22" s="17">
        <f>859298-F24</f>
        <v>359298</v>
      </c>
      <c r="G22" s="17">
        <f>709498-G24</f>
        <v>259498</v>
      </c>
      <c r="H22" s="59"/>
    </row>
    <row r="23" spans="2:8" ht="38.25">
      <c r="B23" s="63" t="s">
        <v>119</v>
      </c>
      <c r="C23" s="17"/>
      <c r="D23" s="17">
        <f>'Balance Sheet Notes'!D69</f>
        <v>45000</v>
      </c>
      <c r="E23" s="17">
        <f>'Balance Sheet Notes'!F69</f>
        <v>40000</v>
      </c>
      <c r="F23" s="17">
        <f>D23</f>
        <v>45000</v>
      </c>
      <c r="G23" s="17">
        <f>E23</f>
        <v>40000</v>
      </c>
      <c r="H23" s="59"/>
    </row>
    <row r="24" spans="2:8" s="3" customFormat="1" ht="25.5">
      <c r="B24" s="63" t="s">
        <v>467</v>
      </c>
      <c r="C24" s="24"/>
      <c r="D24" s="54">
        <f>500000</f>
        <v>500000</v>
      </c>
      <c r="E24" s="54">
        <v>450000</v>
      </c>
      <c r="F24" s="54">
        <v>500000</v>
      </c>
      <c r="G24" s="54">
        <v>450000</v>
      </c>
      <c r="H24" s="59"/>
    </row>
    <row r="25" spans="2:8" ht="25.5">
      <c r="B25" s="63" t="s">
        <v>468</v>
      </c>
      <c r="C25" s="17"/>
      <c r="D25" s="17">
        <v>0</v>
      </c>
      <c r="E25" s="17">
        <v>0</v>
      </c>
      <c r="F25" s="17">
        <v>0</v>
      </c>
      <c r="G25" s="17">
        <v>0</v>
      </c>
      <c r="H25" s="59"/>
    </row>
    <row r="26" spans="2:8" s="3" customFormat="1" ht="26.25" thickBot="1">
      <c r="B26" s="61" t="s">
        <v>469</v>
      </c>
      <c r="C26" s="24"/>
      <c r="D26" s="9">
        <f>SUM(D22:D25)</f>
        <v>739300</v>
      </c>
      <c r="E26" s="9">
        <f>SUM(E22:E25)</f>
        <v>575000</v>
      </c>
      <c r="F26" s="9">
        <f>SUM(F22:F25)</f>
        <v>904298</v>
      </c>
      <c r="G26" s="9">
        <f>SUM(G22:G25)</f>
        <v>749498</v>
      </c>
      <c r="H26" s="59"/>
    </row>
    <row r="27" spans="2:8" ht="13.5" thickTop="1">
      <c r="B27" s="58"/>
      <c r="C27" s="17"/>
      <c r="D27" s="17"/>
      <c r="E27" s="17"/>
      <c r="F27" s="17"/>
      <c r="G27" s="17"/>
      <c r="H27" s="59"/>
    </row>
    <row r="28" spans="2:8" ht="12.75">
      <c r="B28" s="58"/>
      <c r="C28" s="17"/>
      <c r="D28" s="17"/>
      <c r="E28" s="17"/>
      <c r="F28" s="17"/>
      <c r="G28" s="17"/>
      <c r="H28" s="59"/>
    </row>
    <row r="29" spans="2:8" ht="12.75">
      <c r="B29" s="58"/>
      <c r="C29" s="17"/>
      <c r="D29" s="17"/>
      <c r="E29" s="17"/>
      <c r="F29" s="17"/>
      <c r="G29" s="17"/>
      <c r="H29" s="59"/>
    </row>
    <row r="30" spans="2:8" ht="12.75">
      <c r="B30" s="61"/>
      <c r="C30" s="17"/>
      <c r="D30" s="60"/>
      <c r="E30" s="60"/>
      <c r="F30" s="60"/>
      <c r="G30" s="60"/>
      <c r="H30" s="62"/>
    </row>
    <row r="31" spans="2:8" ht="12.75">
      <c r="B31" s="58"/>
      <c r="C31" s="17"/>
      <c r="D31" s="17"/>
      <c r="E31" s="17"/>
      <c r="F31" s="17"/>
      <c r="G31" s="17"/>
      <c r="H31" s="59"/>
    </row>
    <row r="32" spans="2:8" s="3" customFormat="1" ht="12.75">
      <c r="B32" s="60"/>
      <c r="C32" s="24"/>
      <c r="D32" s="24"/>
      <c r="E32" s="24"/>
      <c r="F32" s="24"/>
      <c r="G32" s="24"/>
      <c r="H32" s="59"/>
    </row>
    <row r="33" spans="2:8" ht="12.75">
      <c r="B33" s="58"/>
      <c r="C33" s="17"/>
      <c r="D33" s="17"/>
      <c r="E33" s="17"/>
      <c r="F33" s="17"/>
      <c r="G33" s="17"/>
      <c r="H33" s="59"/>
    </row>
    <row r="34" spans="2:8" ht="12.75">
      <c r="B34" s="58"/>
      <c r="C34" s="17"/>
      <c r="D34" s="17"/>
      <c r="E34" s="17"/>
      <c r="F34" s="17"/>
      <c r="G34" s="17"/>
      <c r="H34" s="59"/>
    </row>
    <row r="35" spans="2:8" ht="12.75">
      <c r="B35" s="58"/>
      <c r="C35" s="17"/>
      <c r="D35" s="17"/>
      <c r="E35" s="17"/>
      <c r="F35" s="17"/>
      <c r="G35" s="17"/>
      <c r="H35" s="59"/>
    </row>
    <row r="36" spans="2:8" ht="12.75">
      <c r="B36" s="58"/>
      <c r="C36" s="17"/>
      <c r="D36" s="17"/>
      <c r="E36" s="17"/>
      <c r="F36" s="17"/>
      <c r="G36" s="17"/>
      <c r="H36" s="59"/>
    </row>
    <row r="37" spans="2:8" ht="12.75">
      <c r="B37" s="58"/>
      <c r="C37" s="17"/>
      <c r="D37" s="17"/>
      <c r="E37" s="17"/>
      <c r="F37" s="17"/>
      <c r="G37" s="17"/>
      <c r="H37" s="59"/>
    </row>
    <row r="38" spans="2:8" s="3" customFormat="1" ht="12.75">
      <c r="B38" s="60"/>
      <c r="C38" s="24"/>
      <c r="D38" s="24"/>
      <c r="E38" s="24"/>
      <c r="F38" s="24"/>
      <c r="G38" s="24"/>
      <c r="H38" s="59"/>
    </row>
    <row r="39" spans="2:8" ht="12.75">
      <c r="B39" s="58"/>
      <c r="C39" s="17"/>
      <c r="D39" s="17"/>
      <c r="E39" s="17"/>
      <c r="F39" s="17"/>
      <c r="G39" s="17"/>
      <c r="H39" s="59"/>
    </row>
    <row r="40" spans="2:8" s="3" customFormat="1" ht="12.75">
      <c r="B40" s="60"/>
      <c r="C40" s="24"/>
      <c r="D40" s="24"/>
      <c r="E40" s="24"/>
      <c r="F40" s="24"/>
      <c r="G40" s="24"/>
      <c r="H40" s="59"/>
    </row>
    <row r="41" spans="2:8" ht="12.75">
      <c r="B41" s="58"/>
      <c r="C41" s="17"/>
      <c r="D41" s="17"/>
      <c r="E41" s="17"/>
      <c r="F41" s="17"/>
      <c r="G41" s="17"/>
      <c r="H41" s="59"/>
    </row>
    <row r="42" spans="2:8" ht="12.75">
      <c r="B42" s="58"/>
      <c r="C42" s="17"/>
      <c r="D42" s="17"/>
      <c r="E42" s="17"/>
      <c r="F42" s="17"/>
      <c r="G42" s="17"/>
      <c r="H42" s="59"/>
    </row>
    <row r="43" spans="2:8" ht="12.75">
      <c r="B43" s="58"/>
      <c r="C43" s="17"/>
      <c r="D43" s="17"/>
      <c r="E43" s="17"/>
      <c r="F43" s="17"/>
      <c r="G43" s="17"/>
      <c r="H43" s="59"/>
    </row>
    <row r="44" spans="2:8" ht="12.75">
      <c r="B44" s="58"/>
      <c r="C44" s="17"/>
      <c r="D44" s="17"/>
      <c r="E44" s="17"/>
      <c r="F44" s="17"/>
      <c r="G44" s="17"/>
      <c r="H44" s="59"/>
    </row>
    <row r="45" spans="2:8" ht="12.75">
      <c r="B45" s="58"/>
      <c r="C45" s="17"/>
      <c r="D45" s="17"/>
      <c r="E45" s="17"/>
      <c r="F45" s="17"/>
      <c r="G45" s="17"/>
      <c r="H45" s="59"/>
    </row>
    <row r="46" spans="2:8" s="3" customFormat="1" ht="12.75">
      <c r="B46" s="60"/>
      <c r="C46" s="24"/>
      <c r="D46" s="24"/>
      <c r="E46" s="24"/>
      <c r="F46" s="24"/>
      <c r="G46" s="24"/>
      <c r="H46" s="59"/>
    </row>
    <row r="47" spans="2:8" ht="12.75">
      <c r="B47" s="58"/>
      <c r="C47" s="17"/>
      <c r="D47" s="17"/>
      <c r="E47" s="17"/>
      <c r="F47" s="17"/>
      <c r="G47" s="17"/>
      <c r="H47" s="59"/>
    </row>
    <row r="48" spans="2:8" s="3" customFormat="1" ht="12.75">
      <c r="B48" s="60"/>
      <c r="C48" s="24"/>
      <c r="D48" s="24"/>
      <c r="E48" s="24"/>
      <c r="F48" s="24"/>
      <c r="G48" s="24"/>
      <c r="H48" s="59"/>
    </row>
    <row r="49" spans="2:8" ht="12.75">
      <c r="B49" s="58"/>
      <c r="C49" s="17"/>
      <c r="D49" s="17"/>
      <c r="E49" s="17"/>
      <c r="F49" s="17"/>
      <c r="G49" s="17"/>
      <c r="H49" s="59"/>
    </row>
    <row r="50" spans="2:8" ht="12.75">
      <c r="B50" s="58"/>
      <c r="C50" s="17"/>
      <c r="D50" s="17"/>
      <c r="E50" s="17"/>
      <c r="F50" s="17"/>
      <c r="G50" s="17"/>
      <c r="H50" s="59"/>
    </row>
    <row r="51" spans="2:8" ht="12.75">
      <c r="B51" s="58"/>
      <c r="C51" s="17"/>
      <c r="D51" s="17"/>
      <c r="E51" s="17"/>
      <c r="F51" s="17"/>
      <c r="G51" s="17"/>
      <c r="H51" s="59"/>
    </row>
    <row r="52" spans="2:8" ht="12.75">
      <c r="B52" s="58"/>
      <c r="C52" s="17"/>
      <c r="D52" s="17"/>
      <c r="E52" s="17"/>
      <c r="F52" s="17"/>
      <c r="G52" s="17"/>
      <c r="H52" s="59"/>
    </row>
    <row r="53" spans="2:8" ht="12.75">
      <c r="B53" s="58"/>
      <c r="C53" s="17"/>
      <c r="D53" s="17"/>
      <c r="E53" s="17"/>
      <c r="F53" s="17"/>
      <c r="G53" s="17"/>
      <c r="H53" s="59"/>
    </row>
    <row r="54" spans="2:8" ht="12.75">
      <c r="B54" s="17"/>
      <c r="C54" s="17"/>
      <c r="D54" s="17"/>
      <c r="E54" s="17"/>
      <c r="F54" s="17"/>
      <c r="G54" s="17"/>
      <c r="H54" s="59"/>
    </row>
    <row r="55" spans="2:8" ht="12.75">
      <c r="B55" s="17"/>
      <c r="C55" s="17"/>
      <c r="D55" s="17"/>
      <c r="E55" s="17"/>
      <c r="F55" s="17"/>
      <c r="G55" s="17"/>
      <c r="H55" s="59"/>
    </row>
  </sheetData>
  <sheetProtection password="D3F2" sheet="1" formatCells="0" formatColumns="0" formatRows="0" insertColumns="0" insertRows="0" insertHyperlinks="0" deleteColumns="0" deleteRows="0" sort="0" autoFilter="0" pivotTables="0"/>
  <printOptions/>
  <pageMargins left="0.7" right="0.7" top="0.75" bottom="0.75" header="0.3" footer="0.3"/>
  <pageSetup fitToHeight="0" fitToWidth="1" horizontalDpi="600" verticalDpi="600" orientation="portrait" paperSize="9"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Craig Duncan</dc:creator>
  <cp:keywords/>
  <dc:description/>
  <cp:lastModifiedBy>Daniel Ward</cp:lastModifiedBy>
  <cp:lastPrinted>2016-03-03T16:34:55Z</cp:lastPrinted>
  <dcterms:created xsi:type="dcterms:W3CDTF">2009-12-03T20:30:09Z</dcterms:created>
  <dcterms:modified xsi:type="dcterms:W3CDTF">2016-03-30T11:06:34Z</dcterms:modified>
  <cp:category/>
  <cp:version/>
  <cp:contentType/>
  <cp:contentStatus/>
</cp:coreProperties>
</file>